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aha_bila skola\PDF\"/>
    </mc:Choice>
  </mc:AlternateContent>
  <bookViews>
    <workbookView xWindow="0" yWindow="0" windowWidth="30720" windowHeight="13670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VORN!$I$36</definedName>
  </definedNames>
  <calcPr calcId="152511"/>
</workbook>
</file>

<file path=xl/calcChain.xml><?xml version="1.0" encoding="utf-8"?>
<calcChain xmlns="http://schemas.openxmlformats.org/spreadsheetml/2006/main">
  <c r="BJ122" i="3" l="1"/>
  <c r="BF122" i="3"/>
  <c r="BD122" i="3"/>
  <c r="AP122" i="3"/>
  <c r="AO122" i="3"/>
  <c r="BH122" i="3" s="1"/>
  <c r="AL122" i="3"/>
  <c r="AK122" i="3"/>
  <c r="AJ122" i="3"/>
  <c r="AH122" i="3"/>
  <c r="AG122" i="3"/>
  <c r="AF122" i="3"/>
  <c r="AE122" i="3"/>
  <c r="AD122" i="3"/>
  <c r="AC122" i="3"/>
  <c r="AB122" i="3"/>
  <c r="Z122" i="3"/>
  <c r="J122" i="3"/>
  <c r="BJ121" i="3"/>
  <c r="AH121" i="3" s="1"/>
  <c r="BI121" i="3"/>
  <c r="BH121" i="3"/>
  <c r="BF121" i="3"/>
  <c r="BD121" i="3"/>
  <c r="AP121" i="3"/>
  <c r="AX121" i="3" s="1"/>
  <c r="AO121" i="3"/>
  <c r="AW121" i="3" s="1"/>
  <c r="AV121" i="3" s="1"/>
  <c r="AL121" i="3"/>
  <c r="AK121" i="3"/>
  <c r="AJ121" i="3"/>
  <c r="AG121" i="3"/>
  <c r="AF121" i="3"/>
  <c r="AE121" i="3"/>
  <c r="AD121" i="3"/>
  <c r="AC121" i="3"/>
  <c r="AB121" i="3"/>
  <c r="Z121" i="3"/>
  <c r="J121" i="3"/>
  <c r="BJ120" i="3"/>
  <c r="AH120" i="3" s="1"/>
  <c r="BF120" i="3"/>
  <c r="BD120" i="3"/>
  <c r="AX120" i="3"/>
  <c r="AW120" i="3"/>
  <c r="BC120" i="3" s="1"/>
  <c r="AV120" i="3"/>
  <c r="AP120" i="3"/>
  <c r="BI120" i="3" s="1"/>
  <c r="AO120" i="3"/>
  <c r="BH120" i="3" s="1"/>
  <c r="AK120" i="3"/>
  <c r="AJ120" i="3"/>
  <c r="AG120" i="3"/>
  <c r="AF120" i="3"/>
  <c r="AE120" i="3"/>
  <c r="AD120" i="3"/>
  <c r="AC120" i="3"/>
  <c r="AB120" i="3"/>
  <c r="Z120" i="3"/>
  <c r="J120" i="3"/>
  <c r="AL120" i="3" s="1"/>
  <c r="I120" i="3"/>
  <c r="H120" i="3"/>
  <c r="BJ119" i="3"/>
  <c r="AH119" i="3" s="1"/>
  <c r="BI119" i="3"/>
  <c r="BH119" i="3"/>
  <c r="BF119" i="3"/>
  <c r="BD119" i="3"/>
  <c r="AP119" i="3"/>
  <c r="AX119" i="3" s="1"/>
  <c r="AO119" i="3"/>
  <c r="AW119" i="3" s="1"/>
  <c r="AL119" i="3"/>
  <c r="AK119" i="3"/>
  <c r="AJ119" i="3"/>
  <c r="AG119" i="3"/>
  <c r="AF119" i="3"/>
  <c r="AE119" i="3"/>
  <c r="AD119" i="3"/>
  <c r="AC119" i="3"/>
  <c r="AB119" i="3"/>
  <c r="Z119" i="3"/>
  <c r="J119" i="3"/>
  <c r="BJ117" i="3"/>
  <c r="Z117" i="3" s="1"/>
  <c r="BI117" i="3"/>
  <c r="BH117" i="3"/>
  <c r="BF117" i="3"/>
  <c r="BD117" i="3"/>
  <c r="AP117" i="3"/>
  <c r="AX117" i="3" s="1"/>
  <c r="AO117" i="3"/>
  <c r="AW117" i="3" s="1"/>
  <c r="AL117" i="3"/>
  <c r="AU116" i="3" s="1"/>
  <c r="AK117" i="3"/>
  <c r="AT116" i="3" s="1"/>
  <c r="AJ117" i="3"/>
  <c r="AS116" i="3" s="1"/>
  <c r="AH117" i="3"/>
  <c r="AG117" i="3"/>
  <c r="AF117" i="3"/>
  <c r="AE117" i="3"/>
  <c r="AD117" i="3"/>
  <c r="AC117" i="3"/>
  <c r="AB117" i="3"/>
  <c r="J117" i="3"/>
  <c r="J116" i="3"/>
  <c r="BJ115" i="3"/>
  <c r="BI115" i="3"/>
  <c r="AC115" i="3" s="1"/>
  <c r="BH115" i="3"/>
  <c r="AB115" i="3" s="1"/>
  <c r="BF115" i="3"/>
  <c r="BD115" i="3"/>
  <c r="BC115" i="3"/>
  <c r="AP115" i="3"/>
  <c r="AX115" i="3" s="1"/>
  <c r="AO115" i="3"/>
  <c r="AW115" i="3" s="1"/>
  <c r="AV115" i="3" s="1"/>
  <c r="AL115" i="3"/>
  <c r="AK115" i="3"/>
  <c r="AJ115" i="3"/>
  <c r="AH115" i="3"/>
  <c r="AG115" i="3"/>
  <c r="AF115" i="3"/>
  <c r="AE115" i="3"/>
  <c r="AD115" i="3"/>
  <c r="Z115" i="3"/>
  <c r="J115" i="3"/>
  <c r="BJ114" i="3"/>
  <c r="BF114" i="3"/>
  <c r="BD114" i="3"/>
  <c r="AP114" i="3"/>
  <c r="BI114" i="3" s="1"/>
  <c r="AC114" i="3" s="1"/>
  <c r="AO114" i="3"/>
  <c r="BH114" i="3" s="1"/>
  <c r="AB114" i="3" s="1"/>
  <c r="AL114" i="3"/>
  <c r="AK114" i="3"/>
  <c r="AJ114" i="3"/>
  <c r="AH114" i="3"/>
  <c r="AG114" i="3"/>
  <c r="AF114" i="3"/>
  <c r="AE114" i="3"/>
  <c r="AD114" i="3"/>
  <c r="Z114" i="3"/>
  <c r="J114" i="3"/>
  <c r="BJ113" i="3"/>
  <c r="BI113" i="3"/>
  <c r="AC113" i="3" s="1"/>
  <c r="BH113" i="3"/>
  <c r="AB113" i="3" s="1"/>
  <c r="BF113" i="3"/>
  <c r="BD113" i="3"/>
  <c r="AP113" i="3"/>
  <c r="AX113" i="3" s="1"/>
  <c r="AO113" i="3"/>
  <c r="AW113" i="3" s="1"/>
  <c r="AL113" i="3"/>
  <c r="AK113" i="3"/>
  <c r="AJ113" i="3"/>
  <c r="AH113" i="3"/>
  <c r="AG113" i="3"/>
  <c r="AF113" i="3"/>
  <c r="AE113" i="3"/>
  <c r="AD113" i="3"/>
  <c r="Z113" i="3"/>
  <c r="J113" i="3"/>
  <c r="BJ112" i="3"/>
  <c r="BF112" i="3"/>
  <c r="BD112" i="3"/>
  <c r="AP112" i="3"/>
  <c r="BI112" i="3" s="1"/>
  <c r="AC112" i="3" s="1"/>
  <c r="AO112" i="3"/>
  <c r="AK112" i="3"/>
  <c r="AJ112" i="3"/>
  <c r="AH112" i="3"/>
  <c r="AG112" i="3"/>
  <c r="AF112" i="3"/>
  <c r="AE112" i="3"/>
  <c r="AD112" i="3"/>
  <c r="Z112" i="3"/>
  <c r="J112" i="3"/>
  <c r="AL112" i="3" s="1"/>
  <c r="BJ111" i="3"/>
  <c r="BI111" i="3"/>
  <c r="AC111" i="3" s="1"/>
  <c r="BF111" i="3"/>
  <c r="BD111" i="3"/>
  <c r="AP111" i="3"/>
  <c r="AX111" i="3" s="1"/>
  <c r="AO111" i="3"/>
  <c r="AL111" i="3"/>
  <c r="AK111" i="3"/>
  <c r="AJ111" i="3"/>
  <c r="AH111" i="3"/>
  <c r="AG111" i="3"/>
  <c r="AF111" i="3"/>
  <c r="AE111" i="3"/>
  <c r="AD111" i="3"/>
  <c r="Z111" i="3"/>
  <c r="J111" i="3"/>
  <c r="BJ110" i="3"/>
  <c r="BI110" i="3"/>
  <c r="BH110" i="3"/>
  <c r="AB110" i="3" s="1"/>
  <c r="BF110" i="3"/>
  <c r="BD110" i="3"/>
  <c r="AX110" i="3"/>
  <c r="AV110" i="3" s="1"/>
  <c r="AW110" i="3"/>
  <c r="BC110" i="3" s="1"/>
  <c r="AP110" i="3"/>
  <c r="AO110" i="3"/>
  <c r="AK110" i="3"/>
  <c r="AJ110" i="3"/>
  <c r="AH110" i="3"/>
  <c r="AG110" i="3"/>
  <c r="AF110" i="3"/>
  <c r="AE110" i="3"/>
  <c r="AD110" i="3"/>
  <c r="AC110" i="3"/>
  <c r="Z110" i="3"/>
  <c r="J110" i="3"/>
  <c r="AL110" i="3" s="1"/>
  <c r="I110" i="3"/>
  <c r="H110" i="3"/>
  <c r="BJ109" i="3"/>
  <c r="BF109" i="3"/>
  <c r="BD109" i="3"/>
  <c r="AP109" i="3"/>
  <c r="AO109" i="3"/>
  <c r="AL109" i="3"/>
  <c r="AU108" i="3" s="1"/>
  <c r="AK109" i="3"/>
  <c r="AT108" i="3" s="1"/>
  <c r="AJ109" i="3"/>
  <c r="AS108" i="3" s="1"/>
  <c r="AH109" i="3"/>
  <c r="AG109" i="3"/>
  <c r="AF109" i="3"/>
  <c r="AE109" i="3"/>
  <c r="AD109" i="3"/>
  <c r="Z109" i="3"/>
  <c r="J109" i="3"/>
  <c r="BJ106" i="3"/>
  <c r="BF106" i="3"/>
  <c r="BD106" i="3"/>
  <c r="AX106" i="3"/>
  <c r="AW106" i="3"/>
  <c r="AP106" i="3"/>
  <c r="BI106" i="3" s="1"/>
  <c r="AO106" i="3"/>
  <c r="BH106" i="3" s="1"/>
  <c r="AK106" i="3"/>
  <c r="AJ106" i="3"/>
  <c r="AH106" i="3"/>
  <c r="AG106" i="3"/>
  <c r="AF106" i="3"/>
  <c r="AE106" i="3"/>
  <c r="AD106" i="3"/>
  <c r="AC106" i="3"/>
  <c r="AB106" i="3"/>
  <c r="Z106" i="3"/>
  <c r="J106" i="3"/>
  <c r="AL106" i="3" s="1"/>
  <c r="I106" i="3"/>
  <c r="BJ105" i="3"/>
  <c r="BI105" i="3"/>
  <c r="BH105" i="3"/>
  <c r="BF105" i="3"/>
  <c r="BD105" i="3"/>
  <c r="AP105" i="3"/>
  <c r="AX105" i="3" s="1"/>
  <c r="AO105" i="3"/>
  <c r="AW105" i="3" s="1"/>
  <c r="AL105" i="3"/>
  <c r="AK105" i="3"/>
  <c r="AJ105" i="3"/>
  <c r="AH105" i="3"/>
  <c r="AG105" i="3"/>
  <c r="AF105" i="3"/>
  <c r="AE105" i="3"/>
  <c r="AD105" i="3"/>
  <c r="AC105" i="3"/>
  <c r="AB105" i="3"/>
  <c r="Z105" i="3"/>
  <c r="J105" i="3"/>
  <c r="H105" i="3"/>
  <c r="BJ104" i="3"/>
  <c r="AH104" i="3" s="1"/>
  <c r="BF104" i="3"/>
  <c r="BD104" i="3"/>
  <c r="AP104" i="3"/>
  <c r="BI104" i="3" s="1"/>
  <c r="AO104" i="3"/>
  <c r="AL104" i="3"/>
  <c r="AK104" i="3"/>
  <c r="AJ104" i="3"/>
  <c r="AG104" i="3"/>
  <c r="AF104" i="3"/>
  <c r="AE104" i="3"/>
  <c r="AD104" i="3"/>
  <c r="AC104" i="3"/>
  <c r="AB104" i="3"/>
  <c r="Z104" i="3"/>
  <c r="J104" i="3"/>
  <c r="BJ103" i="3"/>
  <c r="AH103" i="3" s="1"/>
  <c r="BI103" i="3"/>
  <c r="BH103" i="3"/>
  <c r="BF103" i="3"/>
  <c r="BD103" i="3"/>
  <c r="AX103" i="3"/>
  <c r="AP103" i="3"/>
  <c r="I103" i="3" s="1"/>
  <c r="AO103" i="3"/>
  <c r="AW103" i="3" s="1"/>
  <c r="AL103" i="3"/>
  <c r="AK103" i="3"/>
  <c r="AJ103" i="3"/>
  <c r="AG103" i="3"/>
  <c r="AF103" i="3"/>
  <c r="AE103" i="3"/>
  <c r="AD103" i="3"/>
  <c r="AC103" i="3"/>
  <c r="AB103" i="3"/>
  <c r="Z103" i="3"/>
  <c r="J103" i="3"/>
  <c r="BJ102" i="3"/>
  <c r="AH102" i="3" s="1"/>
  <c r="BH102" i="3"/>
  <c r="BF102" i="3"/>
  <c r="BD102" i="3"/>
  <c r="AW102" i="3"/>
  <c r="AP102" i="3"/>
  <c r="BI102" i="3" s="1"/>
  <c r="AO102" i="3"/>
  <c r="AK102" i="3"/>
  <c r="AJ102" i="3"/>
  <c r="AG102" i="3"/>
  <c r="AF102" i="3"/>
  <c r="AE102" i="3"/>
  <c r="AD102" i="3"/>
  <c r="AC102" i="3"/>
  <c r="AB102" i="3"/>
  <c r="Z102" i="3"/>
  <c r="J102" i="3"/>
  <c r="AL102" i="3" s="1"/>
  <c r="H102" i="3"/>
  <c r="BJ101" i="3"/>
  <c r="BF101" i="3"/>
  <c r="BD101" i="3"/>
  <c r="AP101" i="3"/>
  <c r="AO101" i="3"/>
  <c r="AL101" i="3"/>
  <c r="AK101" i="3"/>
  <c r="AJ101" i="3"/>
  <c r="AS99" i="3" s="1"/>
  <c r="AH101" i="3"/>
  <c r="AG101" i="3"/>
  <c r="AF101" i="3"/>
  <c r="AE101" i="3"/>
  <c r="AD101" i="3"/>
  <c r="AC101" i="3"/>
  <c r="AB101" i="3"/>
  <c r="Z101" i="3"/>
  <c r="J101" i="3"/>
  <c r="BJ100" i="3"/>
  <c r="AH100" i="3" s="1"/>
  <c r="BI100" i="3"/>
  <c r="BH100" i="3"/>
  <c r="BF100" i="3"/>
  <c r="BD100" i="3"/>
  <c r="AX100" i="3"/>
  <c r="AW100" i="3"/>
  <c r="AP100" i="3"/>
  <c r="AO100" i="3"/>
  <c r="AK100" i="3"/>
  <c r="AJ100" i="3"/>
  <c r="AG100" i="3"/>
  <c r="AF100" i="3"/>
  <c r="AE100" i="3"/>
  <c r="AD100" i="3"/>
  <c r="AC100" i="3"/>
  <c r="AB100" i="3"/>
  <c r="Z100" i="3"/>
  <c r="J100" i="3"/>
  <c r="I100" i="3"/>
  <c r="H100" i="3"/>
  <c r="BJ98" i="3"/>
  <c r="BI98" i="3"/>
  <c r="BH98" i="3"/>
  <c r="BF98" i="3"/>
  <c r="BD98" i="3"/>
  <c r="BC98" i="3"/>
  <c r="AX98" i="3"/>
  <c r="AW98" i="3"/>
  <c r="AV98" i="3"/>
  <c r="AP98" i="3"/>
  <c r="AO98" i="3"/>
  <c r="AK98" i="3"/>
  <c r="AT97" i="3" s="1"/>
  <c r="AJ98" i="3"/>
  <c r="AS97" i="3" s="1"/>
  <c r="AH98" i="3"/>
  <c r="AG98" i="3"/>
  <c r="AF98" i="3"/>
  <c r="AE98" i="3"/>
  <c r="AD98" i="3"/>
  <c r="AC98" i="3"/>
  <c r="AB98" i="3"/>
  <c r="Z98" i="3"/>
  <c r="J98" i="3"/>
  <c r="I98" i="3"/>
  <c r="H98" i="3"/>
  <c r="H97" i="3" s="1"/>
  <c r="I97" i="3"/>
  <c r="BJ96" i="3"/>
  <c r="BH96" i="3"/>
  <c r="BF96" i="3"/>
  <c r="BD96" i="3"/>
  <c r="AW96" i="3"/>
  <c r="AP96" i="3"/>
  <c r="AO96" i="3"/>
  <c r="AK96" i="3"/>
  <c r="AJ96" i="3"/>
  <c r="AH96" i="3"/>
  <c r="AG96" i="3"/>
  <c r="AF96" i="3"/>
  <c r="AE96" i="3"/>
  <c r="AD96" i="3"/>
  <c r="AB96" i="3"/>
  <c r="Z96" i="3"/>
  <c r="J96" i="3"/>
  <c r="AL96" i="3" s="1"/>
  <c r="H96" i="3"/>
  <c r="BJ95" i="3"/>
  <c r="BF95" i="3"/>
  <c r="BD95" i="3"/>
  <c r="AP95" i="3"/>
  <c r="AO95" i="3"/>
  <c r="AL95" i="3"/>
  <c r="AK95" i="3"/>
  <c r="AJ95" i="3"/>
  <c r="AH95" i="3"/>
  <c r="AG95" i="3"/>
  <c r="AF95" i="3"/>
  <c r="AE95" i="3"/>
  <c r="AD95" i="3"/>
  <c r="Z95" i="3"/>
  <c r="J95" i="3"/>
  <c r="BJ94" i="3"/>
  <c r="BI94" i="3"/>
  <c r="BH94" i="3"/>
  <c r="BF94" i="3"/>
  <c r="BD94" i="3"/>
  <c r="BC94" i="3"/>
  <c r="AX94" i="3"/>
  <c r="AW94" i="3"/>
  <c r="AV94" i="3" s="1"/>
  <c r="AP94" i="3"/>
  <c r="AO94" i="3"/>
  <c r="AK94" i="3"/>
  <c r="AJ94" i="3"/>
  <c r="AH94" i="3"/>
  <c r="AG94" i="3"/>
  <c r="AF94" i="3"/>
  <c r="AE94" i="3"/>
  <c r="AD94" i="3"/>
  <c r="AC94" i="3"/>
  <c r="AB94" i="3"/>
  <c r="Z94" i="3"/>
  <c r="J94" i="3"/>
  <c r="AL94" i="3" s="1"/>
  <c r="I94" i="3"/>
  <c r="H94" i="3"/>
  <c r="BJ93" i="3"/>
  <c r="BF93" i="3"/>
  <c r="BD93" i="3"/>
  <c r="AP93" i="3"/>
  <c r="I93" i="3" s="1"/>
  <c r="AO93" i="3"/>
  <c r="BH93" i="3" s="1"/>
  <c r="AB93" i="3" s="1"/>
  <c r="AL93" i="3"/>
  <c r="AK93" i="3"/>
  <c r="AJ93" i="3"/>
  <c r="AH93" i="3"/>
  <c r="AG93" i="3"/>
  <c r="AF93" i="3"/>
  <c r="AE93" i="3"/>
  <c r="AD93" i="3"/>
  <c r="Z93" i="3"/>
  <c r="J93" i="3"/>
  <c r="BJ92" i="3"/>
  <c r="BI92" i="3"/>
  <c r="AC92" i="3" s="1"/>
  <c r="BF92" i="3"/>
  <c r="BD92" i="3"/>
  <c r="AP92" i="3"/>
  <c r="AX92" i="3" s="1"/>
  <c r="AO92" i="3"/>
  <c r="AK92" i="3"/>
  <c r="AJ92" i="3"/>
  <c r="AH92" i="3"/>
  <c r="AG92" i="3"/>
  <c r="AF92" i="3"/>
  <c r="AE92" i="3"/>
  <c r="AD92" i="3"/>
  <c r="Z92" i="3"/>
  <c r="J92" i="3"/>
  <c r="AL92" i="3" s="1"/>
  <c r="BJ91" i="3"/>
  <c r="BI91" i="3"/>
  <c r="AC91" i="3" s="1"/>
  <c r="BF91" i="3"/>
  <c r="BD91" i="3"/>
  <c r="AX91" i="3"/>
  <c r="AP91" i="3"/>
  <c r="AO91" i="3"/>
  <c r="BH91" i="3" s="1"/>
  <c r="AB91" i="3" s="1"/>
  <c r="AK91" i="3"/>
  <c r="AJ91" i="3"/>
  <c r="AH91" i="3"/>
  <c r="AG91" i="3"/>
  <c r="AF91" i="3"/>
  <c r="AE91" i="3"/>
  <c r="AD91" i="3"/>
  <c r="Z91" i="3"/>
  <c r="J91" i="3"/>
  <c r="AL91" i="3" s="1"/>
  <c r="I91" i="3"/>
  <c r="H91" i="3"/>
  <c r="BJ90" i="3"/>
  <c r="BI90" i="3"/>
  <c r="BH90" i="3"/>
  <c r="AB90" i="3" s="1"/>
  <c r="BF90" i="3"/>
  <c r="BD90" i="3"/>
  <c r="AW90" i="3"/>
  <c r="AP90" i="3"/>
  <c r="AX90" i="3" s="1"/>
  <c r="AV90" i="3" s="1"/>
  <c r="AO90" i="3"/>
  <c r="AL90" i="3"/>
  <c r="AK90" i="3"/>
  <c r="AJ90" i="3"/>
  <c r="AH90" i="3"/>
  <c r="AG90" i="3"/>
  <c r="AF90" i="3"/>
  <c r="AE90" i="3"/>
  <c r="AD90" i="3"/>
  <c r="AC90" i="3"/>
  <c r="Z90" i="3"/>
  <c r="J90" i="3"/>
  <c r="I90" i="3"/>
  <c r="H90" i="3"/>
  <c r="BJ89" i="3"/>
  <c r="BF89" i="3"/>
  <c r="BD89" i="3"/>
  <c r="AP89" i="3"/>
  <c r="AO89" i="3"/>
  <c r="AK89" i="3"/>
  <c r="AJ89" i="3"/>
  <c r="AH89" i="3"/>
  <c r="AE89" i="3"/>
  <c r="AD89" i="3"/>
  <c r="AC89" i="3"/>
  <c r="AB89" i="3"/>
  <c r="Z89" i="3"/>
  <c r="J89" i="3"/>
  <c r="AT88" i="3"/>
  <c r="BJ87" i="3"/>
  <c r="BF87" i="3"/>
  <c r="BD87" i="3"/>
  <c r="AP87" i="3"/>
  <c r="BI87" i="3" s="1"/>
  <c r="AC87" i="3" s="1"/>
  <c r="AO87" i="3"/>
  <c r="BH87" i="3" s="1"/>
  <c r="AL87" i="3"/>
  <c r="AK87" i="3"/>
  <c r="AJ87" i="3"/>
  <c r="AH87" i="3"/>
  <c r="AG87" i="3"/>
  <c r="AF87" i="3"/>
  <c r="AE87" i="3"/>
  <c r="AD87" i="3"/>
  <c r="AB87" i="3"/>
  <c r="Z87" i="3"/>
  <c r="J87" i="3"/>
  <c r="BJ86" i="3"/>
  <c r="BI86" i="3"/>
  <c r="AC86" i="3" s="1"/>
  <c r="BH86" i="3"/>
  <c r="AB86" i="3" s="1"/>
  <c r="BF86" i="3"/>
  <c r="BD86" i="3"/>
  <c r="AX86" i="3"/>
  <c r="AW86" i="3"/>
  <c r="AP86" i="3"/>
  <c r="AO86" i="3"/>
  <c r="H86" i="3" s="1"/>
  <c r="AL86" i="3"/>
  <c r="AK86" i="3"/>
  <c r="AJ86" i="3"/>
  <c r="AH86" i="3"/>
  <c r="AG86" i="3"/>
  <c r="AF86" i="3"/>
  <c r="AE86" i="3"/>
  <c r="AD86" i="3"/>
  <c r="Z86" i="3"/>
  <c r="J86" i="3"/>
  <c r="I86" i="3"/>
  <c r="BJ85" i="3"/>
  <c r="BH85" i="3"/>
  <c r="BF85" i="3"/>
  <c r="BD85" i="3"/>
  <c r="AW85" i="3"/>
  <c r="AP85" i="3"/>
  <c r="AO85" i="3"/>
  <c r="AK85" i="3"/>
  <c r="AJ85" i="3"/>
  <c r="AH85" i="3"/>
  <c r="AG85" i="3"/>
  <c r="AF85" i="3"/>
  <c r="AE85" i="3"/>
  <c r="AD85" i="3"/>
  <c r="AB85" i="3"/>
  <c r="Z85" i="3"/>
  <c r="J85" i="3"/>
  <c r="H85" i="3"/>
  <c r="BJ82" i="3"/>
  <c r="AH82" i="3" s="1"/>
  <c r="BI82" i="3"/>
  <c r="BH82" i="3"/>
  <c r="BF82" i="3"/>
  <c r="BD82" i="3"/>
  <c r="AX82" i="3"/>
  <c r="AW82" i="3"/>
  <c r="AV82" i="3" s="1"/>
  <c r="AP82" i="3"/>
  <c r="AO82" i="3"/>
  <c r="H82" i="3" s="1"/>
  <c r="AK82" i="3"/>
  <c r="AJ82" i="3"/>
  <c r="AG82" i="3"/>
  <c r="AF82" i="3"/>
  <c r="AE82" i="3"/>
  <c r="AD82" i="3"/>
  <c r="AC82" i="3"/>
  <c r="AB82" i="3"/>
  <c r="Z82" i="3"/>
  <c r="J82" i="3"/>
  <c r="AL82" i="3" s="1"/>
  <c r="I82" i="3"/>
  <c r="BJ81" i="3"/>
  <c r="BF81" i="3"/>
  <c r="BD81" i="3"/>
  <c r="AP81" i="3"/>
  <c r="AO81" i="3"/>
  <c r="BH81" i="3" s="1"/>
  <c r="AL81" i="3"/>
  <c r="AK81" i="3"/>
  <c r="AJ81" i="3"/>
  <c r="AH81" i="3"/>
  <c r="AG81" i="3"/>
  <c r="AF81" i="3"/>
  <c r="AE81" i="3"/>
  <c r="AD81" i="3"/>
  <c r="AC81" i="3"/>
  <c r="AB81" i="3"/>
  <c r="Z81" i="3"/>
  <c r="J81" i="3"/>
  <c r="BJ80" i="3"/>
  <c r="AH80" i="3" s="1"/>
  <c r="BI80" i="3"/>
  <c r="BH80" i="3"/>
  <c r="BF80" i="3"/>
  <c r="BD80" i="3"/>
  <c r="AP80" i="3"/>
  <c r="AX80" i="3" s="1"/>
  <c r="AO80" i="3"/>
  <c r="AL80" i="3"/>
  <c r="AK80" i="3"/>
  <c r="AJ80" i="3"/>
  <c r="AG80" i="3"/>
  <c r="AF80" i="3"/>
  <c r="AE80" i="3"/>
  <c r="AD80" i="3"/>
  <c r="AC80" i="3"/>
  <c r="AB80" i="3"/>
  <c r="Z80" i="3"/>
  <c r="J80" i="3"/>
  <c r="BJ79" i="3"/>
  <c r="AH79" i="3" s="1"/>
  <c r="BI79" i="3"/>
  <c r="BF79" i="3"/>
  <c r="BD79" i="3"/>
  <c r="AP79" i="3"/>
  <c r="AX79" i="3" s="1"/>
  <c r="AO79" i="3"/>
  <c r="BH79" i="3" s="1"/>
  <c r="AL79" i="3"/>
  <c r="AK79" i="3"/>
  <c r="AJ79" i="3"/>
  <c r="AG79" i="3"/>
  <c r="AF79" i="3"/>
  <c r="AE79" i="3"/>
  <c r="AD79" i="3"/>
  <c r="AC79" i="3"/>
  <c r="AB79" i="3"/>
  <c r="Z79" i="3"/>
  <c r="J79" i="3"/>
  <c r="BJ78" i="3"/>
  <c r="AH78" i="3" s="1"/>
  <c r="BI78" i="3"/>
  <c r="BH78" i="3"/>
  <c r="BF78" i="3"/>
  <c r="BD78" i="3"/>
  <c r="AX78" i="3"/>
  <c r="AW78" i="3"/>
  <c r="BC78" i="3" s="1"/>
  <c r="AV78" i="3"/>
  <c r="AP78" i="3"/>
  <c r="AO78" i="3"/>
  <c r="AL78" i="3"/>
  <c r="AU77" i="3" s="1"/>
  <c r="AK78" i="3"/>
  <c r="AJ78" i="3"/>
  <c r="AG78" i="3"/>
  <c r="AF78" i="3"/>
  <c r="AE78" i="3"/>
  <c r="AD78" i="3"/>
  <c r="AC78" i="3"/>
  <c r="AB78" i="3"/>
  <c r="Z78" i="3"/>
  <c r="J78" i="3"/>
  <c r="I78" i="3"/>
  <c r="H78" i="3"/>
  <c r="J77" i="3"/>
  <c r="BJ76" i="3"/>
  <c r="Z76" i="3" s="1"/>
  <c r="BH76" i="3"/>
  <c r="BF76" i="3"/>
  <c r="BD76" i="3"/>
  <c r="AW76" i="3"/>
  <c r="AP76" i="3"/>
  <c r="AO76" i="3"/>
  <c r="AL76" i="3"/>
  <c r="AK76" i="3"/>
  <c r="AT75" i="3" s="1"/>
  <c r="AJ76" i="3"/>
  <c r="AS75" i="3" s="1"/>
  <c r="AH76" i="3"/>
  <c r="AG76" i="3"/>
  <c r="AF76" i="3"/>
  <c r="AE76" i="3"/>
  <c r="AD76" i="3"/>
  <c r="AC76" i="3"/>
  <c r="AB76" i="3"/>
  <c r="J76" i="3"/>
  <c r="H76" i="3"/>
  <c r="AU75" i="3"/>
  <c r="J75" i="3"/>
  <c r="H75" i="3"/>
  <c r="BJ74" i="3"/>
  <c r="BI74" i="3"/>
  <c r="AC74" i="3" s="1"/>
  <c r="BF74" i="3"/>
  <c r="BD74" i="3"/>
  <c r="AP74" i="3"/>
  <c r="AX74" i="3" s="1"/>
  <c r="AO74" i="3"/>
  <c r="AL74" i="3"/>
  <c r="AK74" i="3"/>
  <c r="AJ74" i="3"/>
  <c r="AH74" i="3"/>
  <c r="AG74" i="3"/>
  <c r="AF74" i="3"/>
  <c r="AE74" i="3"/>
  <c r="AD74" i="3"/>
  <c r="Z74" i="3"/>
  <c r="J74" i="3"/>
  <c r="BJ73" i="3"/>
  <c r="BI73" i="3"/>
  <c r="AC73" i="3" s="1"/>
  <c r="BF73" i="3"/>
  <c r="BD73" i="3"/>
  <c r="AP73" i="3"/>
  <c r="I73" i="3" s="1"/>
  <c r="AO73" i="3"/>
  <c r="BH73" i="3" s="1"/>
  <c r="AB73" i="3" s="1"/>
  <c r="AK73" i="3"/>
  <c r="AJ73" i="3"/>
  <c r="AH73" i="3"/>
  <c r="AG73" i="3"/>
  <c r="AF73" i="3"/>
  <c r="AE73" i="3"/>
  <c r="AD73" i="3"/>
  <c r="Z73" i="3"/>
  <c r="J73" i="3"/>
  <c r="AL73" i="3" s="1"/>
  <c r="BJ72" i="3"/>
  <c r="BI72" i="3"/>
  <c r="BH72" i="3"/>
  <c r="AB72" i="3" s="1"/>
  <c r="BF72" i="3"/>
  <c r="BD72" i="3"/>
  <c r="AX72" i="3"/>
  <c r="AW72" i="3"/>
  <c r="BC72" i="3" s="1"/>
  <c r="AV72" i="3"/>
  <c r="AP72" i="3"/>
  <c r="AO72" i="3"/>
  <c r="AL72" i="3"/>
  <c r="AK72" i="3"/>
  <c r="AT67" i="3" s="1"/>
  <c r="AJ72" i="3"/>
  <c r="AH72" i="3"/>
  <c r="AG72" i="3"/>
  <c r="AF72" i="3"/>
  <c r="AE72" i="3"/>
  <c r="AD72" i="3"/>
  <c r="AC72" i="3"/>
  <c r="Z72" i="3"/>
  <c r="J72" i="3"/>
  <c r="I72" i="3"/>
  <c r="H72" i="3"/>
  <c r="BJ71" i="3"/>
  <c r="BH71" i="3"/>
  <c r="BF71" i="3"/>
  <c r="BD71" i="3"/>
  <c r="AX71" i="3"/>
  <c r="AW71" i="3"/>
  <c r="AV71" i="3" s="1"/>
  <c r="AP71" i="3"/>
  <c r="BI71" i="3" s="1"/>
  <c r="AO71" i="3"/>
  <c r="AK71" i="3"/>
  <c r="AJ71" i="3"/>
  <c r="AH71" i="3"/>
  <c r="AG71" i="3"/>
  <c r="AF71" i="3"/>
  <c r="AE71" i="3"/>
  <c r="AD71" i="3"/>
  <c r="AC71" i="3"/>
  <c r="AB71" i="3"/>
  <c r="Z71" i="3"/>
  <c r="J71" i="3"/>
  <c r="AL71" i="3" s="1"/>
  <c r="I71" i="3"/>
  <c r="H71" i="3"/>
  <c r="BJ70" i="3"/>
  <c r="BF70" i="3"/>
  <c r="BD70" i="3"/>
  <c r="AP70" i="3"/>
  <c r="I70" i="3" s="1"/>
  <c r="AO70" i="3"/>
  <c r="AL70" i="3"/>
  <c r="AK70" i="3"/>
  <c r="AJ70" i="3"/>
  <c r="AH70" i="3"/>
  <c r="AG70" i="3"/>
  <c r="AF70" i="3"/>
  <c r="AE70" i="3"/>
  <c r="AD70" i="3"/>
  <c r="Z70" i="3"/>
  <c r="J70" i="3"/>
  <c r="BJ69" i="3"/>
  <c r="BI69" i="3"/>
  <c r="BH69" i="3"/>
  <c r="BF69" i="3"/>
  <c r="BD69" i="3"/>
  <c r="AX69" i="3"/>
  <c r="AW69" i="3"/>
  <c r="BC69" i="3" s="1"/>
  <c r="AV69" i="3"/>
  <c r="AP69" i="3"/>
  <c r="AO69" i="3"/>
  <c r="AK69" i="3"/>
  <c r="AJ69" i="3"/>
  <c r="AS67" i="3" s="1"/>
  <c r="AH69" i="3"/>
  <c r="AG69" i="3"/>
  <c r="AF69" i="3"/>
  <c r="AE69" i="3"/>
  <c r="AD69" i="3"/>
  <c r="AC69" i="3"/>
  <c r="AB69" i="3"/>
  <c r="Z69" i="3"/>
  <c r="J69" i="3"/>
  <c r="AL69" i="3" s="1"/>
  <c r="I69" i="3"/>
  <c r="H69" i="3"/>
  <c r="BJ68" i="3"/>
  <c r="BF68" i="3"/>
  <c r="BD68" i="3"/>
  <c r="AP68" i="3"/>
  <c r="AO68" i="3"/>
  <c r="AL68" i="3"/>
  <c r="AK68" i="3"/>
  <c r="AJ68" i="3"/>
  <c r="AH68" i="3"/>
  <c r="AE68" i="3"/>
  <c r="AD68" i="3"/>
  <c r="AC68" i="3"/>
  <c r="AB68" i="3"/>
  <c r="Z68" i="3"/>
  <c r="J68" i="3"/>
  <c r="AU67" i="3"/>
  <c r="BJ66" i="3"/>
  <c r="BF66" i="3"/>
  <c r="BD66" i="3"/>
  <c r="AP66" i="3"/>
  <c r="AO66" i="3"/>
  <c r="AL66" i="3"/>
  <c r="AK66" i="3"/>
  <c r="AJ66" i="3"/>
  <c r="AH66" i="3"/>
  <c r="AG66" i="3"/>
  <c r="AF66" i="3"/>
  <c r="AE66" i="3"/>
  <c r="AD66" i="3"/>
  <c r="Z66" i="3"/>
  <c r="J66" i="3"/>
  <c r="BJ65" i="3"/>
  <c r="BI65" i="3"/>
  <c r="BH65" i="3"/>
  <c r="AB65" i="3" s="1"/>
  <c r="BF65" i="3"/>
  <c r="BD65" i="3"/>
  <c r="AX65" i="3"/>
  <c r="AW65" i="3"/>
  <c r="AV65" i="3" s="1"/>
  <c r="AP65" i="3"/>
  <c r="AO65" i="3"/>
  <c r="H65" i="3" s="1"/>
  <c r="AK65" i="3"/>
  <c r="AJ65" i="3"/>
  <c r="AH65" i="3"/>
  <c r="AG65" i="3"/>
  <c r="AF65" i="3"/>
  <c r="AE65" i="3"/>
  <c r="AD65" i="3"/>
  <c r="AC65" i="3"/>
  <c r="Z65" i="3"/>
  <c r="J65" i="3"/>
  <c r="AL65" i="3" s="1"/>
  <c r="I65" i="3"/>
  <c r="BJ64" i="3"/>
  <c r="BF64" i="3"/>
  <c r="BD64" i="3"/>
  <c r="AX64" i="3"/>
  <c r="AW64" i="3"/>
  <c r="AP64" i="3"/>
  <c r="BI64" i="3" s="1"/>
  <c r="AO64" i="3"/>
  <c r="BH64" i="3" s="1"/>
  <c r="AB64" i="3" s="1"/>
  <c r="AK64" i="3"/>
  <c r="AT63" i="3" s="1"/>
  <c r="AJ64" i="3"/>
  <c r="AS63" i="3" s="1"/>
  <c r="AH64" i="3"/>
  <c r="AG64" i="3"/>
  <c r="AF64" i="3"/>
  <c r="AE64" i="3"/>
  <c r="AD64" i="3"/>
  <c r="AC64" i="3"/>
  <c r="Z64" i="3"/>
  <c r="J64" i="3"/>
  <c r="I64" i="3"/>
  <c r="H64" i="3"/>
  <c r="BJ61" i="3"/>
  <c r="AH61" i="3" s="1"/>
  <c r="BF61" i="3"/>
  <c r="BD61" i="3"/>
  <c r="AP61" i="3"/>
  <c r="AO61" i="3"/>
  <c r="AK61" i="3"/>
  <c r="AJ61" i="3"/>
  <c r="AG61" i="3"/>
  <c r="AF61" i="3"/>
  <c r="AE61" i="3"/>
  <c r="AD61" i="3"/>
  <c r="AC61" i="3"/>
  <c r="AB61" i="3"/>
  <c r="Z61" i="3"/>
  <c r="J61" i="3"/>
  <c r="AL61" i="3" s="1"/>
  <c r="BJ60" i="3"/>
  <c r="AH60" i="3" s="1"/>
  <c r="BI60" i="3"/>
  <c r="BH60" i="3"/>
  <c r="BF60" i="3"/>
  <c r="BD60" i="3"/>
  <c r="AX60" i="3"/>
  <c r="AW60" i="3"/>
  <c r="BC60" i="3" s="1"/>
  <c r="AV60" i="3"/>
  <c r="AP60" i="3"/>
  <c r="AO60" i="3"/>
  <c r="AL60" i="3"/>
  <c r="AK60" i="3"/>
  <c r="AJ60" i="3"/>
  <c r="AG60" i="3"/>
  <c r="AF60" i="3"/>
  <c r="AE60" i="3"/>
  <c r="AD60" i="3"/>
  <c r="AC60" i="3"/>
  <c r="AB60" i="3"/>
  <c r="Z60" i="3"/>
  <c r="J60" i="3"/>
  <c r="I60" i="3"/>
  <c r="H60" i="3"/>
  <c r="BJ59" i="3"/>
  <c r="BF59" i="3"/>
  <c r="BD59" i="3"/>
  <c r="AP59" i="3"/>
  <c r="AO59" i="3"/>
  <c r="AK59" i="3"/>
  <c r="AJ59" i="3"/>
  <c r="AH59" i="3"/>
  <c r="AG59" i="3"/>
  <c r="AF59" i="3"/>
  <c r="AE59" i="3"/>
  <c r="AD59" i="3"/>
  <c r="AC59" i="3"/>
  <c r="AB59" i="3"/>
  <c r="Z59" i="3"/>
  <c r="J59" i="3"/>
  <c r="AL59" i="3" s="1"/>
  <c r="BJ58" i="3"/>
  <c r="AH58" i="3" s="1"/>
  <c r="BI58" i="3"/>
  <c r="BF58" i="3"/>
  <c r="BD58" i="3"/>
  <c r="AP58" i="3"/>
  <c r="I58" i="3" s="1"/>
  <c r="AO58" i="3"/>
  <c r="AK58" i="3"/>
  <c r="AJ58" i="3"/>
  <c r="AG58" i="3"/>
  <c r="AF58" i="3"/>
  <c r="AE58" i="3"/>
  <c r="AD58" i="3"/>
  <c r="AC58" i="3"/>
  <c r="AB58" i="3"/>
  <c r="Z58" i="3"/>
  <c r="J58" i="3"/>
  <c r="AL58" i="3" s="1"/>
  <c r="BJ57" i="3"/>
  <c r="AH57" i="3" s="1"/>
  <c r="BI57" i="3"/>
  <c r="BH57" i="3"/>
  <c r="BF57" i="3"/>
  <c r="BD57" i="3"/>
  <c r="AX57" i="3"/>
  <c r="AW57" i="3"/>
  <c r="BC57" i="3" s="1"/>
  <c r="AV57" i="3"/>
  <c r="AP57" i="3"/>
  <c r="AO57" i="3"/>
  <c r="AK57" i="3"/>
  <c r="AJ57" i="3"/>
  <c r="AG57" i="3"/>
  <c r="AF57" i="3"/>
  <c r="AE57" i="3"/>
  <c r="AD57" i="3"/>
  <c r="AC57" i="3"/>
  <c r="AB57" i="3"/>
  <c r="Z57" i="3"/>
  <c r="J57" i="3"/>
  <c r="AL57" i="3" s="1"/>
  <c r="I57" i="3"/>
  <c r="H57" i="3"/>
  <c r="BJ56" i="3"/>
  <c r="BF56" i="3"/>
  <c r="BD56" i="3"/>
  <c r="AP56" i="3"/>
  <c r="AO56" i="3"/>
  <c r="BH56" i="3" s="1"/>
  <c r="AL56" i="3"/>
  <c r="AK56" i="3"/>
  <c r="AJ56" i="3"/>
  <c r="AH56" i="3"/>
  <c r="AG56" i="3"/>
  <c r="AF56" i="3"/>
  <c r="AE56" i="3"/>
  <c r="AD56" i="3"/>
  <c r="AC56" i="3"/>
  <c r="AB56" i="3"/>
  <c r="Z56" i="3"/>
  <c r="J56" i="3"/>
  <c r="BJ55" i="3"/>
  <c r="AH55" i="3" s="1"/>
  <c r="BI55" i="3"/>
  <c r="BH55" i="3"/>
  <c r="BF55" i="3"/>
  <c r="BD55" i="3"/>
  <c r="AX55" i="3"/>
  <c r="AP55" i="3"/>
  <c r="I55" i="3" s="1"/>
  <c r="AO55" i="3"/>
  <c r="AW55" i="3" s="1"/>
  <c r="AK55" i="3"/>
  <c r="AJ55" i="3"/>
  <c r="AG55" i="3"/>
  <c r="AF55" i="3"/>
  <c r="AE55" i="3"/>
  <c r="AD55" i="3"/>
  <c r="AC55" i="3"/>
  <c r="AB55" i="3"/>
  <c r="Z55" i="3"/>
  <c r="J55" i="3"/>
  <c r="BJ54" i="3"/>
  <c r="AH54" i="3" s="1"/>
  <c r="BF54" i="3"/>
  <c r="BD54" i="3"/>
  <c r="AP54" i="3"/>
  <c r="BI54" i="3" s="1"/>
  <c r="AO54" i="3"/>
  <c r="BH54" i="3" s="1"/>
  <c r="AL54" i="3"/>
  <c r="AK54" i="3"/>
  <c r="AT53" i="3" s="1"/>
  <c r="AJ54" i="3"/>
  <c r="AS53" i="3" s="1"/>
  <c r="AG54" i="3"/>
  <c r="AF54" i="3"/>
  <c r="AE54" i="3"/>
  <c r="AD54" i="3"/>
  <c r="AC54" i="3"/>
  <c r="AB54" i="3"/>
  <c r="Z54" i="3"/>
  <c r="J54" i="3"/>
  <c r="BJ52" i="3"/>
  <c r="BF52" i="3"/>
  <c r="BD52" i="3"/>
  <c r="AX52" i="3"/>
  <c r="AP52" i="3"/>
  <c r="BI52" i="3" s="1"/>
  <c r="AO52" i="3"/>
  <c r="BH52" i="3" s="1"/>
  <c r="AK52" i="3"/>
  <c r="AT51" i="3" s="1"/>
  <c r="AJ52" i="3"/>
  <c r="AS51" i="3" s="1"/>
  <c r="AH52" i="3"/>
  <c r="AG52" i="3"/>
  <c r="AF52" i="3"/>
  <c r="AE52" i="3"/>
  <c r="AD52" i="3"/>
  <c r="AC52" i="3"/>
  <c r="AB52" i="3"/>
  <c r="Z52" i="3"/>
  <c r="J52" i="3"/>
  <c r="H52" i="3"/>
  <c r="H51" i="3"/>
  <c r="BJ50" i="3"/>
  <c r="BF50" i="3"/>
  <c r="BD50" i="3"/>
  <c r="AP50" i="3"/>
  <c r="AO50" i="3"/>
  <c r="AL50" i="3"/>
  <c r="AK50" i="3"/>
  <c r="AT48" i="3" s="1"/>
  <c r="AJ50" i="3"/>
  <c r="AH50" i="3"/>
  <c r="AG50" i="3"/>
  <c r="AF50" i="3"/>
  <c r="AE50" i="3"/>
  <c r="AD50" i="3"/>
  <c r="Z50" i="3"/>
  <c r="J50" i="3"/>
  <c r="BJ49" i="3"/>
  <c r="BI49" i="3"/>
  <c r="AC49" i="3" s="1"/>
  <c r="BH49" i="3"/>
  <c r="AB49" i="3" s="1"/>
  <c r="BF49" i="3"/>
  <c r="BD49" i="3"/>
  <c r="AX49" i="3"/>
  <c r="AP49" i="3"/>
  <c r="I49" i="3" s="1"/>
  <c r="AO49" i="3"/>
  <c r="AW49" i="3" s="1"/>
  <c r="AV49" i="3" s="1"/>
  <c r="AL49" i="3"/>
  <c r="AK49" i="3"/>
  <c r="AJ49" i="3"/>
  <c r="AH49" i="3"/>
  <c r="AG49" i="3"/>
  <c r="AF49" i="3"/>
  <c r="AE49" i="3"/>
  <c r="AD49" i="3"/>
  <c r="Z49" i="3"/>
  <c r="J49" i="3"/>
  <c r="J48" i="3" s="1"/>
  <c r="AS48" i="3"/>
  <c r="BJ47" i="3"/>
  <c r="BI47" i="3"/>
  <c r="BH47" i="3"/>
  <c r="BF47" i="3"/>
  <c r="BD47" i="3"/>
  <c r="AX47" i="3"/>
  <c r="AW47" i="3"/>
  <c r="AV47" i="3" s="1"/>
  <c r="AP47" i="3"/>
  <c r="AO47" i="3"/>
  <c r="H47" i="3" s="1"/>
  <c r="AK47" i="3"/>
  <c r="AJ47" i="3"/>
  <c r="AH47" i="3"/>
  <c r="AG47" i="3"/>
  <c r="AF47" i="3"/>
  <c r="AE47" i="3"/>
  <c r="AD47" i="3"/>
  <c r="AC47" i="3"/>
  <c r="AB47" i="3"/>
  <c r="Z47" i="3"/>
  <c r="J47" i="3"/>
  <c r="AL47" i="3" s="1"/>
  <c r="I47" i="3"/>
  <c r="BJ46" i="3"/>
  <c r="BF46" i="3"/>
  <c r="BD46" i="3"/>
  <c r="AW46" i="3"/>
  <c r="AP46" i="3"/>
  <c r="AO46" i="3"/>
  <c r="BH46" i="3" s="1"/>
  <c r="AB46" i="3" s="1"/>
  <c r="AK46" i="3"/>
  <c r="AJ46" i="3"/>
  <c r="AH46" i="3"/>
  <c r="AG46" i="3"/>
  <c r="AF46" i="3"/>
  <c r="AE46" i="3"/>
  <c r="AD46" i="3"/>
  <c r="Z46" i="3"/>
  <c r="J46" i="3"/>
  <c r="AL46" i="3" s="1"/>
  <c r="H46" i="3"/>
  <c r="BJ45" i="3"/>
  <c r="BI45" i="3"/>
  <c r="AC45" i="3" s="1"/>
  <c r="BF45" i="3"/>
  <c r="BD45" i="3"/>
  <c r="AP45" i="3"/>
  <c r="AX45" i="3" s="1"/>
  <c r="AO45" i="3"/>
  <c r="AL45" i="3"/>
  <c r="AK45" i="3"/>
  <c r="AJ45" i="3"/>
  <c r="AH45" i="3"/>
  <c r="AG45" i="3"/>
  <c r="AF45" i="3"/>
  <c r="AE45" i="3"/>
  <c r="AD45" i="3"/>
  <c r="Z45" i="3"/>
  <c r="J45" i="3"/>
  <c r="BJ44" i="3"/>
  <c r="BF44" i="3"/>
  <c r="BD44" i="3"/>
  <c r="AP44" i="3"/>
  <c r="AX44" i="3" s="1"/>
  <c r="AO44" i="3"/>
  <c r="BH44" i="3" s="1"/>
  <c r="AB44" i="3" s="1"/>
  <c r="AL44" i="3"/>
  <c r="AK44" i="3"/>
  <c r="AT41" i="3" s="1"/>
  <c r="AJ44" i="3"/>
  <c r="AH44" i="3"/>
  <c r="AG44" i="3"/>
  <c r="AF44" i="3"/>
  <c r="AE44" i="3"/>
  <c r="AD44" i="3"/>
  <c r="Z44" i="3"/>
  <c r="J44" i="3"/>
  <c r="BJ43" i="3"/>
  <c r="BI43" i="3"/>
  <c r="BH43" i="3"/>
  <c r="AB43" i="3" s="1"/>
  <c r="BF43" i="3"/>
  <c r="BD43" i="3"/>
  <c r="AX43" i="3"/>
  <c r="AW43" i="3"/>
  <c r="BC43" i="3" s="1"/>
  <c r="AV43" i="3"/>
  <c r="AP43" i="3"/>
  <c r="AO43" i="3"/>
  <c r="AL43" i="3"/>
  <c r="AK43" i="3"/>
  <c r="AJ43" i="3"/>
  <c r="AH43" i="3"/>
  <c r="AG43" i="3"/>
  <c r="AF43" i="3"/>
  <c r="AE43" i="3"/>
  <c r="AD43" i="3"/>
  <c r="AC43" i="3"/>
  <c r="Z43" i="3"/>
  <c r="J43" i="3"/>
  <c r="I43" i="3"/>
  <c r="H43" i="3"/>
  <c r="BJ42" i="3"/>
  <c r="BF42" i="3"/>
  <c r="BD42" i="3"/>
  <c r="AP42" i="3"/>
  <c r="BI42" i="3" s="1"/>
  <c r="AC42" i="3" s="1"/>
  <c r="AO42" i="3"/>
  <c r="BH42" i="3" s="1"/>
  <c r="AB42" i="3" s="1"/>
  <c r="AK42" i="3"/>
  <c r="AJ42" i="3"/>
  <c r="AS41" i="3" s="1"/>
  <c r="AH42" i="3"/>
  <c r="AG42" i="3"/>
  <c r="AF42" i="3"/>
  <c r="AE42" i="3"/>
  <c r="AD42" i="3"/>
  <c r="Z42" i="3"/>
  <c r="J42" i="3"/>
  <c r="BJ38" i="3"/>
  <c r="AH38" i="3" s="1"/>
  <c r="BI38" i="3"/>
  <c r="BH38" i="3"/>
  <c r="BF38" i="3"/>
  <c r="BD38" i="3"/>
  <c r="BC38" i="3"/>
  <c r="AX38" i="3"/>
  <c r="AW38" i="3"/>
  <c r="AV38" i="3" s="1"/>
  <c r="AP38" i="3"/>
  <c r="AO38" i="3"/>
  <c r="AK38" i="3"/>
  <c r="AJ38" i="3"/>
  <c r="AG38" i="3"/>
  <c r="AF38" i="3"/>
  <c r="AE38" i="3"/>
  <c r="AD38" i="3"/>
  <c r="AC38" i="3"/>
  <c r="AB38" i="3"/>
  <c r="Z38" i="3"/>
  <c r="J38" i="3"/>
  <c r="AL38" i="3" s="1"/>
  <c r="I38" i="3"/>
  <c r="H38" i="3"/>
  <c r="BJ37" i="3"/>
  <c r="BF37" i="3"/>
  <c r="BD37" i="3"/>
  <c r="AP37" i="3"/>
  <c r="I37" i="3" s="1"/>
  <c r="AO37" i="3"/>
  <c r="BH37" i="3" s="1"/>
  <c r="AL37" i="3"/>
  <c r="AK37" i="3"/>
  <c r="AT35" i="3" s="1"/>
  <c r="AJ37" i="3"/>
  <c r="AH37" i="3"/>
  <c r="AG37" i="3"/>
  <c r="AF37" i="3"/>
  <c r="AE37" i="3"/>
  <c r="AD37" i="3"/>
  <c r="AC37" i="3"/>
  <c r="AB37" i="3"/>
  <c r="Z37" i="3"/>
  <c r="J37" i="3"/>
  <c r="BJ36" i="3"/>
  <c r="AH36" i="3" s="1"/>
  <c r="BI36" i="3"/>
  <c r="BH36" i="3"/>
  <c r="BF36" i="3"/>
  <c r="BD36" i="3"/>
  <c r="AX36" i="3"/>
  <c r="AP36" i="3"/>
  <c r="I36" i="3" s="1"/>
  <c r="AO36" i="3"/>
  <c r="AW36" i="3" s="1"/>
  <c r="AL36" i="3"/>
  <c r="AK36" i="3"/>
  <c r="AJ36" i="3"/>
  <c r="AG36" i="3"/>
  <c r="AF36" i="3"/>
  <c r="AE36" i="3"/>
  <c r="AD36" i="3"/>
  <c r="AC36" i="3"/>
  <c r="AB36" i="3"/>
  <c r="Z36" i="3"/>
  <c r="J36" i="3"/>
  <c r="AS35" i="3"/>
  <c r="BJ34" i="3"/>
  <c r="Z34" i="3" s="1"/>
  <c r="BI34" i="3"/>
  <c r="BH34" i="3"/>
  <c r="BF34" i="3"/>
  <c r="BD34" i="3"/>
  <c r="AX34" i="3"/>
  <c r="AW34" i="3"/>
  <c r="AV34" i="3" s="1"/>
  <c r="AP34" i="3"/>
  <c r="AO34" i="3"/>
  <c r="H34" i="3" s="1"/>
  <c r="AK34" i="3"/>
  <c r="AJ34" i="3"/>
  <c r="AH34" i="3"/>
  <c r="AG34" i="3"/>
  <c r="AF34" i="3"/>
  <c r="AE34" i="3"/>
  <c r="AD34" i="3"/>
  <c r="AC34" i="3"/>
  <c r="AB34" i="3"/>
  <c r="J34" i="3"/>
  <c r="AL34" i="3" s="1"/>
  <c r="I34" i="3"/>
  <c r="BJ33" i="3"/>
  <c r="BF33" i="3"/>
  <c r="BD33" i="3"/>
  <c r="AP33" i="3"/>
  <c r="BI33" i="3" s="1"/>
  <c r="AO33" i="3"/>
  <c r="BH33" i="3" s="1"/>
  <c r="AL33" i="3"/>
  <c r="AU32" i="3" s="1"/>
  <c r="AK33" i="3"/>
  <c r="AT32" i="3" s="1"/>
  <c r="AJ33" i="3"/>
  <c r="AS32" i="3" s="1"/>
  <c r="AH33" i="3"/>
  <c r="AG33" i="3"/>
  <c r="AF33" i="3"/>
  <c r="AE33" i="3"/>
  <c r="AD33" i="3"/>
  <c r="AC33" i="3"/>
  <c r="AB33" i="3"/>
  <c r="Z33" i="3"/>
  <c r="J33" i="3"/>
  <c r="J32" i="3"/>
  <c r="BJ31" i="3"/>
  <c r="BF31" i="3"/>
  <c r="BD31" i="3"/>
  <c r="AP31" i="3"/>
  <c r="AO31" i="3"/>
  <c r="BH31" i="3" s="1"/>
  <c r="AL31" i="3"/>
  <c r="AU30" i="3" s="1"/>
  <c r="AK31" i="3"/>
  <c r="AT30" i="3" s="1"/>
  <c r="AJ31" i="3"/>
  <c r="AS30" i="3" s="1"/>
  <c r="AH31" i="3"/>
  <c r="AG31" i="3"/>
  <c r="AF31" i="3"/>
  <c r="AE31" i="3"/>
  <c r="AD31" i="3"/>
  <c r="AC31" i="3"/>
  <c r="AB31" i="3"/>
  <c r="Z31" i="3"/>
  <c r="J31" i="3"/>
  <c r="J30" i="3"/>
  <c r="BJ28" i="3"/>
  <c r="BF28" i="3"/>
  <c r="BD28" i="3"/>
  <c r="AP28" i="3"/>
  <c r="AO28" i="3"/>
  <c r="AL28" i="3"/>
  <c r="AK28" i="3"/>
  <c r="AJ28" i="3"/>
  <c r="AH28" i="3"/>
  <c r="AG28" i="3"/>
  <c r="AF28" i="3"/>
  <c r="AE28" i="3"/>
  <c r="AD28" i="3"/>
  <c r="Z28" i="3"/>
  <c r="J28" i="3"/>
  <c r="H28" i="3"/>
  <c r="H27" i="3" s="1"/>
  <c r="AU27" i="3"/>
  <c r="AT27" i="3"/>
  <c r="AS27" i="3"/>
  <c r="J27" i="3"/>
  <c r="BJ26" i="3"/>
  <c r="BF26" i="3"/>
  <c r="BD26" i="3"/>
  <c r="AP26" i="3"/>
  <c r="I26" i="3" s="1"/>
  <c r="AO26" i="3"/>
  <c r="AL26" i="3"/>
  <c r="AK26" i="3"/>
  <c r="AJ26" i="3"/>
  <c r="AH26" i="3"/>
  <c r="AG26" i="3"/>
  <c r="AF26" i="3"/>
  <c r="AE26" i="3"/>
  <c r="AD26" i="3"/>
  <c r="Z26" i="3"/>
  <c r="J26" i="3"/>
  <c r="BJ24" i="3"/>
  <c r="BI24" i="3"/>
  <c r="BH24" i="3"/>
  <c r="BF24" i="3"/>
  <c r="BD24" i="3"/>
  <c r="AX24" i="3"/>
  <c r="AW24" i="3"/>
  <c r="BC24" i="3" s="1"/>
  <c r="AV24" i="3"/>
  <c r="AP24" i="3"/>
  <c r="AO24" i="3"/>
  <c r="AK24" i="3"/>
  <c r="AT23" i="3" s="1"/>
  <c r="AJ24" i="3"/>
  <c r="AS23" i="3" s="1"/>
  <c r="AH24" i="3"/>
  <c r="AG24" i="3"/>
  <c r="AF24" i="3"/>
  <c r="AE24" i="3"/>
  <c r="AD24" i="3"/>
  <c r="AC24" i="3"/>
  <c r="AB24" i="3"/>
  <c r="Z24" i="3"/>
  <c r="J24" i="3"/>
  <c r="AL24" i="3" s="1"/>
  <c r="I24" i="3"/>
  <c r="H24" i="3"/>
  <c r="J23" i="3"/>
  <c r="I23" i="3"/>
  <c r="BJ22" i="3"/>
  <c r="BI22" i="3"/>
  <c r="AC22" i="3" s="1"/>
  <c r="BH22" i="3"/>
  <c r="AB22" i="3" s="1"/>
  <c r="BF22" i="3"/>
  <c r="BD22" i="3"/>
  <c r="AW22" i="3"/>
  <c r="BC22" i="3" s="1"/>
  <c r="AP22" i="3"/>
  <c r="AX22" i="3" s="1"/>
  <c r="AV22" i="3" s="1"/>
  <c r="AO22" i="3"/>
  <c r="AK22" i="3"/>
  <c r="AJ22" i="3"/>
  <c r="AH22" i="3"/>
  <c r="AG22" i="3"/>
  <c r="AF22" i="3"/>
  <c r="AE22" i="3"/>
  <c r="AD22" i="3"/>
  <c r="Z22" i="3"/>
  <c r="J22" i="3"/>
  <c r="AL22" i="3" s="1"/>
  <c r="H22" i="3"/>
  <c r="BJ21" i="3"/>
  <c r="BF21" i="3"/>
  <c r="BD21" i="3"/>
  <c r="AP21" i="3"/>
  <c r="AO21" i="3"/>
  <c r="AL21" i="3"/>
  <c r="AK21" i="3"/>
  <c r="AJ21" i="3"/>
  <c r="AH21" i="3"/>
  <c r="AG21" i="3"/>
  <c r="AF21" i="3"/>
  <c r="AE21" i="3"/>
  <c r="AD21" i="3"/>
  <c r="Z21" i="3"/>
  <c r="J21" i="3"/>
  <c r="BJ20" i="3"/>
  <c r="BI20" i="3"/>
  <c r="BH20" i="3"/>
  <c r="BF20" i="3"/>
  <c r="BD20" i="3"/>
  <c r="AX20" i="3"/>
  <c r="AP20" i="3"/>
  <c r="AO20" i="3"/>
  <c r="H20" i="3" s="1"/>
  <c r="AK20" i="3"/>
  <c r="AJ20" i="3"/>
  <c r="AH20" i="3"/>
  <c r="AG20" i="3"/>
  <c r="AF20" i="3"/>
  <c r="AE20" i="3"/>
  <c r="AD20" i="3"/>
  <c r="AC20" i="3"/>
  <c r="AB20" i="3"/>
  <c r="Z20" i="3"/>
  <c r="J20" i="3"/>
  <c r="AL20" i="3" s="1"/>
  <c r="I20" i="3"/>
  <c r="BJ19" i="3"/>
  <c r="BF19" i="3"/>
  <c r="BD19" i="3"/>
  <c r="AP19" i="3"/>
  <c r="BI19" i="3" s="1"/>
  <c r="AC19" i="3" s="1"/>
  <c r="AO19" i="3"/>
  <c r="BH19" i="3" s="1"/>
  <c r="AB19" i="3" s="1"/>
  <c r="AL19" i="3"/>
  <c r="AK19" i="3"/>
  <c r="AJ19" i="3"/>
  <c r="AH19" i="3"/>
  <c r="AG19" i="3"/>
  <c r="AF19" i="3"/>
  <c r="AE19" i="3"/>
  <c r="AD19" i="3"/>
  <c r="Z19" i="3"/>
  <c r="J19" i="3"/>
  <c r="BJ18" i="3"/>
  <c r="BF18" i="3"/>
  <c r="BD18" i="3"/>
  <c r="AP18" i="3"/>
  <c r="AO18" i="3"/>
  <c r="AL18" i="3"/>
  <c r="AK18" i="3"/>
  <c r="AJ18" i="3"/>
  <c r="AH18" i="3"/>
  <c r="AG18" i="3"/>
  <c r="AF18" i="3"/>
  <c r="AE18" i="3"/>
  <c r="AD18" i="3"/>
  <c r="Z18" i="3"/>
  <c r="J18" i="3"/>
  <c r="BJ17" i="3"/>
  <c r="BI17" i="3"/>
  <c r="AC17" i="3" s="1"/>
  <c r="BF17" i="3"/>
  <c r="BD17" i="3"/>
  <c r="AP17" i="3"/>
  <c r="AX17" i="3" s="1"/>
  <c r="AO17" i="3"/>
  <c r="BH17" i="3" s="1"/>
  <c r="AL17" i="3"/>
  <c r="AK17" i="3"/>
  <c r="AJ17" i="3"/>
  <c r="AH17" i="3"/>
  <c r="AG17" i="3"/>
  <c r="AF17" i="3"/>
  <c r="AE17" i="3"/>
  <c r="AD17" i="3"/>
  <c r="AB17" i="3"/>
  <c r="Z17" i="3"/>
  <c r="J17" i="3"/>
  <c r="BJ16" i="3"/>
  <c r="BI16" i="3"/>
  <c r="BH16" i="3"/>
  <c r="AB16" i="3" s="1"/>
  <c r="BF16" i="3"/>
  <c r="BD16" i="3"/>
  <c r="AX16" i="3"/>
  <c r="AW16" i="3"/>
  <c r="BC16" i="3" s="1"/>
  <c r="AV16" i="3"/>
  <c r="AP16" i="3"/>
  <c r="AO16" i="3"/>
  <c r="AL16" i="3"/>
  <c r="AK16" i="3"/>
  <c r="AJ16" i="3"/>
  <c r="AH16" i="3"/>
  <c r="AG16" i="3"/>
  <c r="AF16" i="3"/>
  <c r="AE16" i="3"/>
  <c r="AD16" i="3"/>
  <c r="AC16" i="3"/>
  <c r="Z16" i="3"/>
  <c r="J16" i="3"/>
  <c r="I16" i="3"/>
  <c r="H16" i="3"/>
  <c r="BJ15" i="3"/>
  <c r="BH15" i="3"/>
  <c r="BF15" i="3"/>
  <c r="BD15" i="3"/>
  <c r="AP15" i="3"/>
  <c r="BI15" i="3" s="1"/>
  <c r="AO15" i="3"/>
  <c r="AW15" i="3" s="1"/>
  <c r="AK15" i="3"/>
  <c r="AJ15" i="3"/>
  <c r="AH15" i="3"/>
  <c r="AG15" i="3"/>
  <c r="AF15" i="3"/>
  <c r="AE15" i="3"/>
  <c r="AD15" i="3"/>
  <c r="AC15" i="3"/>
  <c r="AB15" i="3"/>
  <c r="Z15" i="3"/>
  <c r="C21" i="1" s="1"/>
  <c r="J15" i="3"/>
  <c r="BJ14" i="3"/>
  <c r="BF14" i="3"/>
  <c r="BD14" i="3"/>
  <c r="AP14" i="3"/>
  <c r="I14" i="3" s="1"/>
  <c r="AO14" i="3"/>
  <c r="AL14" i="3"/>
  <c r="AK14" i="3"/>
  <c r="AJ14" i="3"/>
  <c r="AH14" i="3"/>
  <c r="AG14" i="3"/>
  <c r="AF14" i="3"/>
  <c r="AE14" i="3"/>
  <c r="AD14" i="3"/>
  <c r="Z14" i="3"/>
  <c r="J14" i="3"/>
  <c r="AU1" i="3"/>
  <c r="AT1" i="3"/>
  <c r="AS1" i="3"/>
  <c r="I36" i="2"/>
  <c r="I35" i="2"/>
  <c r="I26" i="2"/>
  <c r="I25" i="2"/>
  <c r="I18" i="1" s="1"/>
  <c r="I24" i="2"/>
  <c r="I23" i="2"/>
  <c r="I22" i="2"/>
  <c r="I21" i="2"/>
  <c r="I17" i="2"/>
  <c r="F16" i="1" s="1"/>
  <c r="I16" i="2"/>
  <c r="F15" i="1" s="1"/>
  <c r="I15" i="2"/>
  <c r="I10" i="2"/>
  <c r="F10" i="2"/>
  <c r="C10" i="2"/>
  <c r="F8" i="2"/>
  <c r="C8" i="2"/>
  <c r="F6" i="2"/>
  <c r="C6" i="2"/>
  <c r="F4" i="2"/>
  <c r="C4" i="2"/>
  <c r="F2" i="2"/>
  <c r="C2" i="2"/>
  <c r="I24" i="1"/>
  <c r="I19" i="1"/>
  <c r="I17" i="1"/>
  <c r="I16" i="1"/>
  <c r="I15" i="1"/>
  <c r="F14" i="1"/>
  <c r="I10" i="1"/>
  <c r="F10" i="1"/>
  <c r="C10" i="1"/>
  <c r="F8" i="1"/>
  <c r="C8" i="1"/>
  <c r="F6" i="1"/>
  <c r="C6" i="1"/>
  <c r="F4" i="1"/>
  <c r="C4" i="1"/>
  <c r="F2" i="1"/>
  <c r="C2" i="1"/>
  <c r="BI50" i="3" l="1"/>
  <c r="AC50" i="3" s="1"/>
  <c r="AX50" i="3"/>
  <c r="I50" i="3"/>
  <c r="BH61" i="3"/>
  <c r="H61" i="3"/>
  <c r="AW61" i="3"/>
  <c r="AU35" i="3"/>
  <c r="AW18" i="3"/>
  <c r="H18" i="3"/>
  <c r="BH18" i="3"/>
  <c r="AB18" i="3" s="1"/>
  <c r="BI46" i="3"/>
  <c r="AC46" i="3" s="1"/>
  <c r="AX46" i="3"/>
  <c r="AV46" i="3" s="1"/>
  <c r="I46" i="3"/>
  <c r="AX18" i="3"/>
  <c r="I18" i="3"/>
  <c r="BI18" i="3"/>
  <c r="AC18" i="3" s="1"/>
  <c r="AS13" i="3"/>
  <c r="BC106" i="3"/>
  <c r="AV106" i="3"/>
  <c r="BI89" i="3"/>
  <c r="AG89" i="3" s="1"/>
  <c r="I89" i="3"/>
  <c r="AX89" i="3"/>
  <c r="H63" i="3"/>
  <c r="BC71" i="3"/>
  <c r="BI28" i="3"/>
  <c r="AC28" i="3" s="1"/>
  <c r="AX28" i="3"/>
  <c r="I28" i="3"/>
  <c r="I27" i="3" s="1"/>
  <c r="AL64" i="3"/>
  <c r="AU63" i="3" s="1"/>
  <c r="J63" i="3"/>
  <c r="AT13" i="3"/>
  <c r="BH68" i="3"/>
  <c r="AF68" i="3" s="1"/>
  <c r="H68" i="3"/>
  <c r="AW68" i="3"/>
  <c r="BI85" i="3"/>
  <c r="AC85" i="3" s="1"/>
  <c r="I85" i="3"/>
  <c r="AX85" i="3"/>
  <c r="AV85" i="3" s="1"/>
  <c r="AV100" i="3"/>
  <c r="BC100" i="3"/>
  <c r="H59" i="3"/>
  <c r="AW59" i="3"/>
  <c r="BH59" i="3"/>
  <c r="BI68" i="3"/>
  <c r="AG68" i="3" s="1"/>
  <c r="C19" i="1" s="1"/>
  <c r="AX68" i="3"/>
  <c r="I68" i="3"/>
  <c r="I67" i="3" s="1"/>
  <c r="BC64" i="3"/>
  <c r="AV64" i="3"/>
  <c r="C27" i="1"/>
  <c r="C20" i="1"/>
  <c r="BI59" i="3"/>
  <c r="I59" i="3"/>
  <c r="AX59" i="3"/>
  <c r="AW74" i="3"/>
  <c r="H74" i="3"/>
  <c r="BH74" i="3"/>
  <c r="AB74" i="3" s="1"/>
  <c r="BC85" i="3"/>
  <c r="BH112" i="3"/>
  <c r="AB112" i="3" s="1"/>
  <c r="H112" i="3"/>
  <c r="AW112" i="3"/>
  <c r="AL15" i="3"/>
  <c r="AU13" i="3" s="1"/>
  <c r="J13" i="3"/>
  <c r="AV36" i="3"/>
  <c r="BC36" i="3"/>
  <c r="AW92" i="3"/>
  <c r="H92" i="3"/>
  <c r="BH92" i="3"/>
  <c r="AB92" i="3" s="1"/>
  <c r="BI96" i="3"/>
  <c r="AC96" i="3" s="1"/>
  <c r="AX96" i="3"/>
  <c r="AV96" i="3" s="1"/>
  <c r="I96" i="3"/>
  <c r="BH50" i="3"/>
  <c r="AB50" i="3" s="1"/>
  <c r="AW50" i="3"/>
  <c r="H50" i="3"/>
  <c r="BH89" i="3"/>
  <c r="AF89" i="3" s="1"/>
  <c r="C18" i="1" s="1"/>
  <c r="AW89" i="3"/>
  <c r="H89" i="3"/>
  <c r="H88" i="3" s="1"/>
  <c r="BC102" i="3"/>
  <c r="AX61" i="3"/>
  <c r="BI61" i="3"/>
  <c r="I61" i="3"/>
  <c r="BH104" i="3"/>
  <c r="H104" i="3"/>
  <c r="AW104" i="3"/>
  <c r="I35" i="3"/>
  <c r="J51" i="3"/>
  <c r="AL52" i="3"/>
  <c r="AU51" i="3" s="1"/>
  <c r="AL55" i="3"/>
  <c r="AU53" i="3" s="1"/>
  <c r="J53" i="3"/>
  <c r="BC15" i="3"/>
  <c r="C17" i="1"/>
  <c r="BC96" i="3"/>
  <c r="F22" i="1"/>
  <c r="BH21" i="3"/>
  <c r="AB21" i="3" s="1"/>
  <c r="AW21" i="3"/>
  <c r="BC113" i="3"/>
  <c r="AV113" i="3"/>
  <c r="I14" i="1"/>
  <c r="I22" i="1" s="1"/>
  <c r="I27" i="2"/>
  <c r="BH26" i="3"/>
  <c r="AB26" i="3" s="1"/>
  <c r="AW26" i="3"/>
  <c r="H26" i="3"/>
  <c r="H23" i="3" s="1"/>
  <c r="BC47" i="3"/>
  <c r="AL89" i="3"/>
  <c r="AU88" i="3" s="1"/>
  <c r="J88" i="3"/>
  <c r="AT118" i="3"/>
  <c r="AW19" i="3"/>
  <c r="AU118" i="3"/>
  <c r="I19" i="3"/>
  <c r="H37" i="3"/>
  <c r="I42" i="3"/>
  <c r="H45" i="3"/>
  <c r="AW45" i="3"/>
  <c r="AX54" i="3"/>
  <c r="BC90" i="3"/>
  <c r="BC119" i="3"/>
  <c r="AV119" i="3"/>
  <c r="BI122" i="3"/>
  <c r="AX122" i="3"/>
  <c r="I18" i="2"/>
  <c r="F29" i="2" s="1"/>
  <c r="AW56" i="3"/>
  <c r="AL100" i="3"/>
  <c r="AU99" i="3" s="1"/>
  <c r="J99" i="3"/>
  <c r="I104" i="3"/>
  <c r="I112" i="3"/>
  <c r="AU23" i="3"/>
  <c r="AW81" i="3"/>
  <c r="AS118" i="3"/>
  <c r="BI109" i="3"/>
  <c r="AC109" i="3" s="1"/>
  <c r="AX109" i="3"/>
  <c r="I109" i="3"/>
  <c r="AX33" i="3"/>
  <c r="H42" i="3"/>
  <c r="H41" i="3" s="1"/>
  <c r="AU48" i="3"/>
  <c r="AX70" i="3"/>
  <c r="AW79" i="3"/>
  <c r="AX102" i="3"/>
  <c r="AV102" i="3" s="1"/>
  <c r="H122" i="3"/>
  <c r="H56" i="3"/>
  <c r="BI81" i="3"/>
  <c r="AX81" i="3"/>
  <c r="BH66" i="3"/>
  <c r="AB66" i="3" s="1"/>
  <c r="AW66" i="3"/>
  <c r="I81" i="3"/>
  <c r="BH109" i="3"/>
  <c r="AB109" i="3" s="1"/>
  <c r="AW109" i="3"/>
  <c r="I33" i="3"/>
  <c r="I32" i="3" s="1"/>
  <c r="AW33" i="3"/>
  <c r="BI37" i="3"/>
  <c r="AX37" i="3"/>
  <c r="AW54" i="3"/>
  <c r="AW93" i="3"/>
  <c r="AX19" i="3"/>
  <c r="BC82" i="3"/>
  <c r="BI31" i="3"/>
  <c r="AX31" i="3"/>
  <c r="AW37" i="3"/>
  <c r="AL42" i="3"/>
  <c r="AU41" i="3" s="1"/>
  <c r="J41" i="3"/>
  <c r="H66" i="3"/>
  <c r="H79" i="3"/>
  <c r="BI14" i="3"/>
  <c r="AC14" i="3" s="1"/>
  <c r="H17" i="3"/>
  <c r="AW17" i="3"/>
  <c r="I22" i="3"/>
  <c r="BI26" i="3"/>
  <c r="AC26" i="3" s="1"/>
  <c r="H31" i="3"/>
  <c r="H30" i="3" s="1"/>
  <c r="BI44" i="3"/>
  <c r="AC44" i="3" s="1"/>
  <c r="I48" i="3"/>
  <c r="AV55" i="3"/>
  <c r="I79" i="3"/>
  <c r="I102" i="3"/>
  <c r="H109" i="3"/>
  <c r="AW114" i="3"/>
  <c r="I122" i="3"/>
  <c r="AW122" i="3"/>
  <c r="BI56" i="3"/>
  <c r="AX56" i="3"/>
  <c r="AL85" i="3"/>
  <c r="AU84" i="3" s="1"/>
  <c r="J84" i="3"/>
  <c r="BI21" i="3"/>
  <c r="AC21" i="3" s="1"/>
  <c r="AX21" i="3"/>
  <c r="I21" i="3"/>
  <c r="J35" i="3"/>
  <c r="BC121" i="3"/>
  <c r="BH14" i="3"/>
  <c r="AB14" i="3" s="1"/>
  <c r="C14" i="1" s="1"/>
  <c r="AW14" i="3"/>
  <c r="H14" i="3"/>
  <c r="AX104" i="3"/>
  <c r="H33" i="3"/>
  <c r="H32" i="3" s="1"/>
  <c r="BI101" i="3"/>
  <c r="AX101" i="3"/>
  <c r="I101" i="3"/>
  <c r="I99" i="3" s="1"/>
  <c r="H19" i="3"/>
  <c r="AW42" i="3"/>
  <c r="AX76" i="3"/>
  <c r="BC76" i="3" s="1"/>
  <c r="I76" i="3"/>
  <c r="I75" i="3" s="1"/>
  <c r="H93" i="3"/>
  <c r="I54" i="3"/>
  <c r="I53" i="3" s="1"/>
  <c r="I17" i="3"/>
  <c r="I31" i="3"/>
  <c r="I30" i="3" s="1"/>
  <c r="AW31" i="3"/>
  <c r="BC34" i="3"/>
  <c r="BH58" i="3"/>
  <c r="AW58" i="3"/>
  <c r="H58" i="3"/>
  <c r="AW73" i="3"/>
  <c r="AS84" i="3"/>
  <c r="H87" i="3"/>
  <c r="H84" i="3" s="1"/>
  <c r="AW87" i="3"/>
  <c r="BC103" i="3"/>
  <c r="AV103" i="3"/>
  <c r="H114" i="3"/>
  <c r="AX114" i="3"/>
  <c r="J118" i="3"/>
  <c r="C28" i="1"/>
  <c r="F28" i="1" s="1"/>
  <c r="BC117" i="3"/>
  <c r="AV117" i="3"/>
  <c r="H21" i="3"/>
  <c r="H44" i="3"/>
  <c r="AX14" i="3"/>
  <c r="I44" i="3"/>
  <c r="J108" i="3"/>
  <c r="BH70" i="3"/>
  <c r="AB70" i="3" s="1"/>
  <c r="AW70" i="3"/>
  <c r="H70" i="3"/>
  <c r="C16" i="1"/>
  <c r="H15" i="3"/>
  <c r="AS77" i="3"/>
  <c r="I87" i="3"/>
  <c r="BH95" i="3"/>
  <c r="AB95" i="3" s="1"/>
  <c r="H95" i="3"/>
  <c r="AW95" i="3"/>
  <c r="AL98" i="3"/>
  <c r="AU97" i="3" s="1"/>
  <c r="J97" i="3"/>
  <c r="I114" i="3"/>
  <c r="AS88" i="3"/>
  <c r="BC65" i="3"/>
  <c r="I56" i="3"/>
  <c r="H81" i="3"/>
  <c r="BC86" i="3"/>
  <c r="AV86" i="3"/>
  <c r="BH101" i="3"/>
  <c r="H101" i="3"/>
  <c r="H99" i="3" s="1"/>
  <c r="AW101" i="3"/>
  <c r="AX112" i="3"/>
  <c r="AW44" i="3"/>
  <c r="BI66" i="3"/>
  <c r="AC66" i="3" s="1"/>
  <c r="AX66" i="3"/>
  <c r="I66" i="3"/>
  <c r="I63" i="3" s="1"/>
  <c r="BI93" i="3"/>
  <c r="AC93" i="3" s="1"/>
  <c r="AX93" i="3"/>
  <c r="BC105" i="3"/>
  <c r="AV105" i="3"/>
  <c r="AX26" i="3"/>
  <c r="H54" i="3"/>
  <c r="AX42" i="3"/>
  <c r="BC49" i="3"/>
  <c r="BI70" i="3"/>
  <c r="AC70" i="3" s="1"/>
  <c r="H73" i="3"/>
  <c r="AX73" i="3"/>
  <c r="BI76" i="3"/>
  <c r="AW80" i="3"/>
  <c r="H80" i="3"/>
  <c r="AT84" i="3"/>
  <c r="AX87" i="3"/>
  <c r="I15" i="3"/>
  <c r="AX15" i="3"/>
  <c r="AV15" i="3" s="1"/>
  <c r="AW20" i="3"/>
  <c r="BH28" i="3"/>
  <c r="AB28" i="3" s="1"/>
  <c r="AW28" i="3"/>
  <c r="BH45" i="3"/>
  <c r="AB45" i="3" s="1"/>
  <c r="I52" i="3"/>
  <c r="I51" i="3" s="1"/>
  <c r="AW52" i="3"/>
  <c r="BC55" i="3"/>
  <c r="AX58" i="3"/>
  <c r="J67" i="3"/>
  <c r="AT77" i="3"/>
  <c r="AW91" i="3"/>
  <c r="BI95" i="3"/>
  <c r="AC95" i="3" s="1"/>
  <c r="AX95" i="3"/>
  <c r="I95" i="3"/>
  <c r="AT99" i="3"/>
  <c r="H106" i="3"/>
  <c r="BH111" i="3"/>
  <c r="AB111" i="3" s="1"/>
  <c r="AW111" i="3"/>
  <c r="H111" i="3"/>
  <c r="H103" i="3"/>
  <c r="I111" i="3"/>
  <c r="H113" i="3"/>
  <c r="H119" i="3"/>
  <c r="AV76" i="3"/>
  <c r="I113" i="3"/>
  <c r="H117" i="3"/>
  <c r="H116" i="3" s="1"/>
  <c r="I119" i="3"/>
  <c r="I118" i="3" s="1"/>
  <c r="I105" i="3"/>
  <c r="H115" i="3"/>
  <c r="I117" i="3"/>
  <c r="I116" i="3" s="1"/>
  <c r="H121" i="3"/>
  <c r="H36" i="3"/>
  <c r="H35" i="3" s="1"/>
  <c r="I45" i="3"/>
  <c r="H49" i="3"/>
  <c r="H55" i="3"/>
  <c r="I74" i="3"/>
  <c r="I80" i="3"/>
  <c r="I92" i="3"/>
  <c r="I115" i="3"/>
  <c r="I121" i="3"/>
  <c r="BC31" i="3" l="1"/>
  <c r="AV31" i="3"/>
  <c r="BC19" i="3"/>
  <c r="AV19" i="3"/>
  <c r="AV91" i="3"/>
  <c r="BC91" i="3"/>
  <c r="I108" i="3"/>
  <c r="I107" i="3" s="1"/>
  <c r="H83" i="3"/>
  <c r="AV104" i="3"/>
  <c r="BC104" i="3"/>
  <c r="BC122" i="3"/>
  <c r="AV122" i="3"/>
  <c r="BC61" i="3"/>
  <c r="AV61" i="3"/>
  <c r="BC112" i="3"/>
  <c r="AV112" i="3"/>
  <c r="AV80" i="3"/>
  <c r="BC80" i="3"/>
  <c r="BC56" i="3"/>
  <c r="AV56" i="3"/>
  <c r="BC101" i="3"/>
  <c r="AV101" i="3"/>
  <c r="BC33" i="3"/>
  <c r="AV33" i="3"/>
  <c r="BC109" i="3"/>
  <c r="AV109" i="3"/>
  <c r="BC18" i="3"/>
  <c r="AV18" i="3"/>
  <c r="BC70" i="3"/>
  <c r="AV70" i="3"/>
  <c r="H77" i="3"/>
  <c r="I88" i="3"/>
  <c r="J107" i="3"/>
  <c r="J40" i="3"/>
  <c r="AV45" i="3"/>
  <c r="BC45" i="3"/>
  <c r="BC68" i="3"/>
  <c r="AV68" i="3"/>
  <c r="AV44" i="3"/>
  <c r="BC44" i="3"/>
  <c r="BC26" i="3"/>
  <c r="AV26" i="3"/>
  <c r="AV74" i="3"/>
  <c r="BC74" i="3"/>
  <c r="H53" i="3"/>
  <c r="H40" i="3" s="1"/>
  <c r="H48" i="3"/>
  <c r="AV20" i="3"/>
  <c r="BC20" i="3"/>
  <c r="BC114" i="3"/>
  <c r="AV114" i="3"/>
  <c r="BC81" i="3"/>
  <c r="AV81" i="3"/>
  <c r="AV92" i="3"/>
  <c r="BC92" i="3"/>
  <c r="H67" i="3"/>
  <c r="BC52" i="3"/>
  <c r="AV52" i="3"/>
  <c r="BC87" i="3"/>
  <c r="AV87" i="3"/>
  <c r="BC28" i="3"/>
  <c r="AV28" i="3"/>
  <c r="BC58" i="3"/>
  <c r="AV58" i="3"/>
  <c r="H108" i="3"/>
  <c r="BC37" i="3"/>
  <c r="AV37" i="3"/>
  <c r="I41" i="3"/>
  <c r="I40" i="3" s="1"/>
  <c r="BC21" i="3"/>
  <c r="AV21" i="3"/>
  <c r="BC89" i="3"/>
  <c r="AV89" i="3"/>
  <c r="BC54" i="3"/>
  <c r="AV54" i="3"/>
  <c r="AV59" i="3"/>
  <c r="BC59" i="3"/>
  <c r="H62" i="3"/>
  <c r="BC17" i="3"/>
  <c r="AV17" i="3"/>
  <c r="I84" i="3"/>
  <c r="I83" i="3" s="1"/>
  <c r="BC73" i="3"/>
  <c r="AV73" i="3"/>
  <c r="I13" i="3"/>
  <c r="I12" i="3" s="1"/>
  <c r="H13" i="3"/>
  <c r="H12" i="3" s="1"/>
  <c r="AV95" i="3"/>
  <c r="BC95" i="3"/>
  <c r="BC93" i="3"/>
  <c r="AV93" i="3"/>
  <c r="BC79" i="3"/>
  <c r="AV79" i="3"/>
  <c r="BC50" i="3"/>
  <c r="AV50" i="3"/>
  <c r="H118" i="3"/>
  <c r="J83" i="3"/>
  <c r="AV42" i="3"/>
  <c r="BC42" i="3"/>
  <c r="C15" i="1"/>
  <c r="C22" i="1" s="1"/>
  <c r="BC111" i="3"/>
  <c r="AV111" i="3"/>
  <c r="AV66" i="3"/>
  <c r="BC66" i="3"/>
  <c r="AV14" i="3"/>
  <c r="BC14" i="3"/>
  <c r="I77" i="3"/>
  <c r="I62" i="3" s="1"/>
  <c r="C29" i="1"/>
  <c r="F29" i="1" s="1"/>
  <c r="J123" i="3"/>
  <c r="J12" i="3"/>
  <c r="J62" i="3"/>
  <c r="BC46" i="3"/>
  <c r="I28" i="1" l="1"/>
  <c r="I29" i="1" s="1"/>
  <c r="H107" i="3"/>
</calcChain>
</file>

<file path=xl/sharedStrings.xml><?xml version="1.0" encoding="utf-8"?>
<sst xmlns="http://schemas.openxmlformats.org/spreadsheetml/2006/main" count="1427" uniqueCount="382">
  <si>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</si>
  <si>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</si>
  <si>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</si>
  <si>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</si>
  <si>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</si>
  <si>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</si>
  <si>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</si>
  <si>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67611591/CZ7303074053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</si>
  <si>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</si>
  <si>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</si>
  <si>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</si>
  <si>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</si>
  <si>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</si>
  <si>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</si>
  <si>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</si>
  <si>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</si>
  <si>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</si>
  <si>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</si>
  <si>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</si>
  <si>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</si>
  <si>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</si>
  <si>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</si>
  <si>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</si>
  <si>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</si>
  <si>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</si>
  <si>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Zařízení staveniště</t>
  </si>
  <si>
    <t>Montáž</t>
  </si>
  <si>
    <t>Mimostav. doprava</t>
  </si>
  <si>
    <t>PSV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</si>
  <si>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</si>
  <si>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</si>
  <si>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</si>
  <si>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</si>
  <si>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</si>
  <si>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</si>
  <si>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</si>
  <si>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</si>
  <si>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</si>
  <si>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</si>
  <si>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</si>
  <si>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</si>
  <si>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</si>
  <si>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</si>
  <si>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</si>
  <si>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</si>
  <si>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</si>
  <si>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</si>
  <si>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</si>
  <si>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</si>
  <si>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</si>
  <si>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</si>
  <si>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</si>
  <si>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</si>
  <si>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</si>
  <si>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</si>
  <si>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</si>
  <si>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</si>
  <si>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</si>
  <si>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</si>
  <si>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</si>
  <si>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</si>
  <si>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</si>
  <si>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</si>
  <si>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</si>
  <si>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</si>
  <si>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</si>
  <si>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</si>
  <si>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Slepý stavební rozpočet</t>
  </si>
  <si>
    <t>Zahrada ZŠ a MŠ Bílá, Praha 6 Dejvice – Rehabilitace vegetační složky – ETAPA 1</t>
  </si>
  <si>
    <t>Doba výstavby:</t>
  </si>
  <si>
    <t xml:space="preserve"> </t>
  </si>
  <si>
    <t> </t>
  </si>
  <si>
    <t>Vegetační úpravy</t>
  </si>
  <si>
    <t>Ing. Přemysl Krejčiřík, Ph.D.</t>
  </si>
  <si>
    <t>Praha Dejvice</t>
  </si>
  <si>
    <t>Zpracováno dne:</t>
  </si>
  <si>
    <t>20.10.2025</t>
  </si>
  <si>
    <t>Ateliér Krejčiříkovi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</si>
  <si>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</si>
  <si>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</si>
  <si>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</si>
  <si>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</si>
  <si>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</si>
  <si>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</si>
  <si>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</si>
  <si>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</si>
  <si>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</si>
  <si>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</si>
  <si>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</si>
  <si>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</si>
  <si>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</si>
  <si>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</si>
  <si>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</si>
  <si>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</si>
  <si>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</si>
  <si>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</si>
  <si>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</si>
  <si>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</si>
  <si>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</si>
  <si>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</si>
  <si>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</si>
  <si>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</si>
  <si>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</si>
  <si>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</si>
  <si>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</si>
  <si>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</si>
  <si>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Asanace a ošetření stávajících dřevin</t>
  </si>
  <si>
    <t>11</t>
  </si>
  <si>
    <t>Přípravné a přidružené práce</t>
  </si>
  <si>
    <t>01</t>
  </si>
  <si>
    <t>1</t>
  </si>
  <si>
    <t>1848061R</t>
  </si>
  <si>
    <t>Zmlazení stávajících keřových skupin (skupina šeříků K19)</t>
  </si>
  <si>
    <t>m2</t>
  </si>
  <si>
    <t>11_</t>
  </si>
  <si>
    <t>01_11_</t>
  </si>
  <si>
    <t>01_</t>
  </si>
  <si>
    <t>P</t>
  </si>
  <si>
    <t>2</t>
  </si>
  <si>
    <t>111201101R00</t>
  </si>
  <si>
    <t>Odstranění křovin i s kořeny na ploše do 1000 m2 - plošně (stávající živý plot K23, soliterní keře ve svahu K17, K10)</t>
  </si>
  <si>
    <t>RTS II / 2025</t>
  </si>
  <si>
    <t>3</t>
  </si>
  <si>
    <t>Odstranění křovin i s kořeny na ploše do 1000 m2 - výběrem náletů (K4, K5, K11, K13) odhadovaná plocha</t>
  </si>
  <si>
    <t>4</t>
  </si>
  <si>
    <t>1848VD</t>
  </si>
  <si>
    <t>Aplikace selektivního herbicidu na výmladky pajasanu</t>
  </si>
  <si>
    <t>soubor</t>
  </si>
  <si>
    <t>5</t>
  </si>
  <si>
    <t>11120VD</t>
  </si>
  <si>
    <t>Odstranění odumřelých  výmladků pajasanu v celém areálu - po chemické ošetření</t>
  </si>
  <si>
    <t>6</t>
  </si>
  <si>
    <t>112101112R00</t>
  </si>
  <si>
    <t>Kácení stromů listnatých průměru 30 cm, svah 1:5</t>
  </si>
  <si>
    <t>kus</t>
  </si>
  <si>
    <t>7</t>
  </si>
  <si>
    <t>112101113R00</t>
  </si>
  <si>
    <t>Kácení stromů listnatých průměru 40 cm, svah 1:5</t>
  </si>
  <si>
    <t>8</t>
  </si>
  <si>
    <t>112101114R00</t>
  </si>
  <si>
    <t>Kácení stromů listnatých průměru 50 cm, svah 1:5</t>
  </si>
  <si>
    <t>9</t>
  </si>
  <si>
    <t>112101116R00</t>
  </si>
  <si>
    <t>Kácení stromů listnatých průměru 70 cm, svah 1:5</t>
  </si>
  <si>
    <t>112VD</t>
  </si>
  <si>
    <t>Odstranění dřevin</t>
  </si>
  <si>
    <t>10</t>
  </si>
  <si>
    <t>11225-1212VD</t>
  </si>
  <si>
    <t>Odstranění pařezu odfrézováním nebo odvrtáním hloubky do 200 mm, na svahu 1:5-1:2</t>
  </si>
  <si>
    <t>112VD_</t>
  </si>
  <si>
    <t>01_112VD_</t>
  </si>
  <si>
    <t>- 7 ks po kácení</t>
  </si>
  <si>
    <t>162301501R00</t>
  </si>
  <si>
    <t>Vodorovné přemístění křovin do  5000 m</t>
  </si>
  <si>
    <t>174VD</t>
  </si>
  <si>
    <t>Odstranění dřevní hmoty</t>
  </si>
  <si>
    <t>12</t>
  </si>
  <si>
    <t>17411-1122VD</t>
  </si>
  <si>
    <t>Zásyp jam po vyfrézovaných pařezech hloubky 200-500 mm, na svahu 1:5-1:2</t>
  </si>
  <si>
    <t>174VD_</t>
  </si>
  <si>
    <t>01_174VD_</t>
  </si>
  <si>
    <t>H22</t>
  </si>
  <si>
    <t>Komunikace pozemní a letiště</t>
  </si>
  <si>
    <t>13</t>
  </si>
  <si>
    <t>998231311R00</t>
  </si>
  <si>
    <t>Přesun hmot pro sadovnické a krajin. úpravy do 0,5 km</t>
  </si>
  <si>
    <t>t</t>
  </si>
  <si>
    <t>H22_</t>
  </si>
  <si>
    <t>01_H22_</t>
  </si>
  <si>
    <t>S0</t>
  </si>
  <si>
    <t>Přesuny sutí</t>
  </si>
  <si>
    <t>14</t>
  </si>
  <si>
    <t>979087008R00</t>
  </si>
  <si>
    <t>Odvoz na skládku dřeva, příplatek za dalších 5 km</t>
  </si>
  <si>
    <t>m3</t>
  </si>
  <si>
    <t>S0_</t>
  </si>
  <si>
    <t>01_S0_</t>
  </si>
  <si>
    <t>15</t>
  </si>
  <si>
    <t>979999999R00</t>
  </si>
  <si>
    <t>Poplatek za skladku</t>
  </si>
  <si>
    <t>M</t>
  </si>
  <si>
    <t>16</t>
  </si>
  <si>
    <t>10364200</t>
  </si>
  <si>
    <t>Zemina pro pozemkové úpravy -  zásyp jam po pařezech</t>
  </si>
  <si>
    <t>0</t>
  </si>
  <si>
    <t>Z99999_</t>
  </si>
  <si>
    <t>01_Z_</t>
  </si>
  <si>
    <t>17</t>
  </si>
  <si>
    <t>2221VD</t>
  </si>
  <si>
    <t>Totální systémový herbicid vhodný pro odstranění pajasanu žlaznatého (Ailanthus)</t>
  </si>
  <si>
    <t>l</t>
  </si>
  <si>
    <t>18</t>
  </si>
  <si>
    <t>111_211VD</t>
  </si>
  <si>
    <t>Informativní tabule A4 zalaminováno s textem " Chemicky ošetřeno", včetně sloupku a instalace</t>
  </si>
  <si>
    <t>- Tabule umístěny k místům odstraňování pajasanu žlaznatého
- tabule můžou obsahovat vysvětlení proč je nutná likvidace pajasanu
- zalaminováno</t>
  </si>
  <si>
    <t>Výsadba stromů</t>
  </si>
  <si>
    <t>Povrchové úpravy terénu</t>
  </si>
  <si>
    <t>02</t>
  </si>
  <si>
    <t>19</t>
  </si>
  <si>
    <t>184502112R00</t>
  </si>
  <si>
    <t>Vyzvednutí dřeviny k přesaz. s balem, strom v. 3 m, rovina</t>
  </si>
  <si>
    <t>18_</t>
  </si>
  <si>
    <t>02_18_</t>
  </si>
  <si>
    <t>02_</t>
  </si>
  <si>
    <t>20</t>
  </si>
  <si>
    <t>183101115R00</t>
  </si>
  <si>
    <t>Hloub. jamek bez výměny půdy do 0,4 m3, svah 1:5 (2ks nové + 1 ks prřesazení)</t>
  </si>
  <si>
    <t>21</t>
  </si>
  <si>
    <t>184102115R00</t>
  </si>
  <si>
    <t>Výsadba dřevin s balem D do 60 cm, v rovině</t>
  </si>
  <si>
    <t>22</t>
  </si>
  <si>
    <t>184202111R00</t>
  </si>
  <si>
    <t>Ukotvení dřeviny kůly D do 10 cm, dl. do 3 m</t>
  </si>
  <si>
    <t>23</t>
  </si>
  <si>
    <t>184806111R00</t>
  </si>
  <si>
    <t>Řez průklestem netrnitých stromů po výsadbě</t>
  </si>
  <si>
    <t>24</t>
  </si>
  <si>
    <t>185851121R</t>
  </si>
  <si>
    <t>Dovoz vody pro zálivku rostlin (100 l/strom)</t>
  </si>
  <si>
    <t>184</t>
  </si>
  <si>
    <t>Vysazování a přesazování keřů a stromů</t>
  </si>
  <si>
    <t>25</t>
  </si>
  <si>
    <t>15587R</t>
  </si>
  <si>
    <t>Zhotovení obalu kmene z rákosové rohože</t>
  </si>
  <si>
    <t>ks</t>
  </si>
  <si>
    <t>184_</t>
  </si>
  <si>
    <t>02_184_</t>
  </si>
  <si>
    <t>26</t>
  </si>
  <si>
    <t>18557R</t>
  </si>
  <si>
    <t>Zhotovení závlahové mísy u solitérních dřevin, rovina - svah do 1:5, o průměru mísy 1m</t>
  </si>
  <si>
    <t>27</t>
  </si>
  <si>
    <t>02_H22_</t>
  </si>
  <si>
    <t>28</t>
  </si>
  <si>
    <t>111_16VD</t>
  </si>
  <si>
    <t>Zásobní tabletové hnojivo (tabl.12x10g/strom), vč. aplikace</t>
  </si>
  <si>
    <t>02_Z_</t>
  </si>
  <si>
    <t>29</t>
  </si>
  <si>
    <t>111_30VD</t>
  </si>
  <si>
    <t>Rákosová rohož, vázací materiál</t>
  </si>
  <si>
    <t>bm</t>
  </si>
  <si>
    <t>30</t>
  </si>
  <si>
    <t>1113VD</t>
  </si>
  <si>
    <t>Kůl (průměr 6cm, frézovaný s fazetou a špicí, impregnovaný, 2,5 m), 3 ks/1strom</t>
  </si>
  <si>
    <t>31</t>
  </si>
  <si>
    <t>1114VD</t>
  </si>
  <si>
    <t>Příčka z půlené frézované kulatiny pr. 6 cm, délka 60 cm, 3 ks/1strom</t>
  </si>
  <si>
    <t>32</t>
  </si>
  <si>
    <t>08231320</t>
  </si>
  <si>
    <t>Voda pro zálivku (20l/m2)</t>
  </si>
  <si>
    <t>33</t>
  </si>
  <si>
    <t>10391100</t>
  </si>
  <si>
    <t>Kůra mulčovací - jemně drcená, bez známek výskytu chorob a škůdců (tl. 0,05 m)</t>
  </si>
  <si>
    <t>34</t>
  </si>
  <si>
    <t>111_35VD</t>
  </si>
  <si>
    <t>Platanus x acerifolia ´Huissen´ 14/16, ZB</t>
  </si>
  <si>
    <t>35</t>
  </si>
  <si>
    <t>Malus ´Professor Sprenger´, 14/16, ZB</t>
  </si>
  <si>
    <t>Záhonová výsadba keřů</t>
  </si>
  <si>
    <t>Odkopávky a prokopávky</t>
  </si>
  <si>
    <t>03</t>
  </si>
  <si>
    <t>36</t>
  </si>
  <si>
    <t>122100010RA0</t>
  </si>
  <si>
    <t>Odkopávky nezapažené v hornině 1-4 - výměna substrátu (pásy pro výsadbu hortenizíí d.19m x š.0,5m x 2 řady x hl. 0,1 m)</t>
  </si>
  <si>
    <t>12_</t>
  </si>
  <si>
    <t>03_12_</t>
  </si>
  <si>
    <t>03_</t>
  </si>
  <si>
    <t>37</t>
  </si>
  <si>
    <t>162701105RT3</t>
  </si>
  <si>
    <t>Vodorovné přemístění výkopku z hor.1-4 do 10000 m  (1,9 m3 x 1,22 koef. nakypření)</t>
  </si>
  <si>
    <t>38</t>
  </si>
  <si>
    <t>199000002R00</t>
  </si>
  <si>
    <t>Poplatek za skládku zeminy</t>
  </si>
  <si>
    <t>39</t>
  </si>
  <si>
    <t>460120081R00</t>
  </si>
  <si>
    <t>Násyp substrátu (výměna substrátu), tl. 01 m + promíchání se stávající sezimou ; 1,9 m3 x 1,05 koef. sléhavosti</t>
  </si>
  <si>
    <t>03_18_</t>
  </si>
  <si>
    <t>40</t>
  </si>
  <si>
    <t>181301103R00</t>
  </si>
  <si>
    <t>Rozprostření substrátu vč. urovnání, rovina - výměna substrátu</t>
  </si>
  <si>
    <t>41</t>
  </si>
  <si>
    <t>183205111R00</t>
  </si>
  <si>
    <t>Založení záhonu v rovině, hor. 1 - 2</t>
  </si>
  <si>
    <t>42</t>
  </si>
  <si>
    <t>183101111R00</t>
  </si>
  <si>
    <t>Hloub. jamek bez výměny půdy do 0,01 m3, rovina</t>
  </si>
  <si>
    <t>43</t>
  </si>
  <si>
    <t>183204115R00</t>
  </si>
  <si>
    <t>Výsadba keřů, ZB, do připravené půdy se zalitím (keře Ko) (dvouřad v ploše)</t>
  </si>
  <si>
    <t>44</t>
  </si>
  <si>
    <t>184921093R00</t>
  </si>
  <si>
    <t>Mulčování rostlin jemně drcenou kůrou, tl. 5 cm, rovina</t>
  </si>
  <si>
    <t>45</t>
  </si>
  <si>
    <t>Dovoz vody pro zálivku rostlin (20 l/m2)</t>
  </si>
  <si>
    <t>46</t>
  </si>
  <si>
    <t>03_H22_</t>
  </si>
  <si>
    <t>47</t>
  </si>
  <si>
    <t>Kůra mulčovací - jemně drcená, bez známek výskytu chorob a škůdců (60 m2 x hl. 0,05 m = 3 m3)</t>
  </si>
  <si>
    <t>03_Z_</t>
  </si>
  <si>
    <t>48</t>
  </si>
  <si>
    <t>Totální systémový herbicid na bázi glyfosátu (0,0005 l/m2)</t>
  </si>
  <si>
    <t>49</t>
  </si>
  <si>
    <t>50</t>
  </si>
  <si>
    <t>10364200R</t>
  </si>
  <si>
    <t>Substrát vč. dovozu - rašelinový substrát pro výsadbu hortenzií (v pásu výsadby rostlin)</t>
  </si>
  <si>
    <t>51</t>
  </si>
  <si>
    <t>14489R</t>
  </si>
  <si>
    <t>Hydrangea arborescens,  v. 40-60, Ko</t>
  </si>
  <si>
    <t>Založení živého plotu</t>
  </si>
  <si>
    <t>04</t>
  </si>
  <si>
    <t>52</t>
  </si>
  <si>
    <t>Odkopávky nezapažené v hornině 1-4 - výměna substrátu (d. 60 bm x š. 0,6 m2 x hl. 0,2 m) (Ligustrum, Spiraea)</t>
  </si>
  <si>
    <t>04_12_</t>
  </si>
  <si>
    <t>04_</t>
  </si>
  <si>
    <t>53</t>
  </si>
  <si>
    <t>Vodorovné přemístění výkopku z hor.1-4 do 10000 m  (7,2 m3 x 1,22 koef. nakypření)</t>
  </si>
  <si>
    <t>54</t>
  </si>
  <si>
    <t>55</t>
  </si>
  <si>
    <t>Násyp substrátu (výměna substrátu), tl. 0,2 m po slehnutí  x 36 m2 x 1,05 koef. sléhavosti</t>
  </si>
  <si>
    <t>04_18_</t>
  </si>
  <si>
    <t>56</t>
  </si>
  <si>
    <t>57</t>
  </si>
  <si>
    <t>183400010RAA</t>
  </si>
  <si>
    <t>Příprava půdy pro výsadbu v rovině, ruční - odplevelení, rytí</t>
  </si>
  <si>
    <t>58</t>
  </si>
  <si>
    <t>59</t>
  </si>
  <si>
    <t>60</t>
  </si>
  <si>
    <t>Výsadba keřů, ZB, do připravené půdy se zalitím (keře 40-60, ZB)</t>
  </si>
  <si>
    <t>61</t>
  </si>
  <si>
    <t>62</t>
  </si>
  <si>
    <t>63</t>
  </si>
  <si>
    <t>04_H22_</t>
  </si>
  <si>
    <t>64</t>
  </si>
  <si>
    <t>Kůra mulčovací - jemně drcená, bez známek výskytu chorob a škůdců (50 m2 x hl. 0,05 m = 2,5 m3)</t>
  </si>
  <si>
    <t>04_Z_</t>
  </si>
  <si>
    <t>65</t>
  </si>
  <si>
    <t>66</t>
  </si>
  <si>
    <t>67</t>
  </si>
  <si>
    <t>Substrát vč. dovozu - katrovaná ornice (kvalitní, bonitní, odplevelená) 70%, vyzrálý kompost 20%, křemičitý písek 10%, agrosil (100 g/m2)</t>
  </si>
  <si>
    <t>68</t>
  </si>
  <si>
    <t>Ligustrum ovalifolium, v. 40-60, Ko</t>
  </si>
  <si>
    <t>69</t>
  </si>
  <si>
    <t>Spiraea cinerea 'Grefsheim', v. 40-60, Ko</t>
  </si>
  <si>
    <t>70</t>
  </si>
  <si>
    <t>Symphoricarpos albus,  v. 40-60, Ko</t>
  </si>
  <si>
    <t>Založení parkového trávníku - po odstranění keřů</t>
  </si>
  <si>
    <t>06</t>
  </si>
  <si>
    <t>71</t>
  </si>
  <si>
    <t>183400012RAA</t>
  </si>
  <si>
    <t>Příprava půdy pro výsev v rovině, strojní - odplevelení, frézování, hnojení</t>
  </si>
  <si>
    <t>06_18_</t>
  </si>
  <si>
    <t>06_</t>
  </si>
  <si>
    <t>72</t>
  </si>
  <si>
    <t>183400020RAA</t>
  </si>
  <si>
    <t>Příprava půdy pro výsadbu, ve svahu, ruční - chemické odplevelení, rytí, hnojení</t>
  </si>
  <si>
    <t>73</t>
  </si>
  <si>
    <t>183403153R00</t>
  </si>
  <si>
    <t>Obdělání půdy hrabáním v rovině</t>
  </si>
  <si>
    <t>74</t>
  </si>
  <si>
    <t>183403253R00</t>
  </si>
  <si>
    <t>Obdělání půdy hrabáním, na svahu 1:2</t>
  </si>
  <si>
    <t>75</t>
  </si>
  <si>
    <t>180402111R00</t>
  </si>
  <si>
    <t>Založení trávníku parkového výsevem v rovině vč. utažení</t>
  </si>
  <si>
    <t>76</t>
  </si>
  <si>
    <t>180402112R00</t>
  </si>
  <si>
    <t>Založení trávníku parkového výsevem svah do 1:2</t>
  </si>
  <si>
    <t>77</t>
  </si>
  <si>
    <t>185804312R00</t>
  </si>
  <si>
    <t>Zalití trávníku vodou plochy nad 20 m2 (20 l/m2)</t>
  </si>
  <si>
    <t>78</t>
  </si>
  <si>
    <t>06_H22_</t>
  </si>
  <si>
    <t>79</t>
  </si>
  <si>
    <t>111116VD</t>
  </si>
  <si>
    <t>Travní směs 0,03 kg/m2 x 10 m2</t>
  </si>
  <si>
    <t>kg</t>
  </si>
  <si>
    <t>06_Z_</t>
  </si>
  <si>
    <t>80</t>
  </si>
  <si>
    <t>81</t>
  </si>
  <si>
    <t>111_11VD</t>
  </si>
  <si>
    <t>Dlouhodobě působící granulované trávníkové hnojivo, 0,03 kg/m2 x 10 m2</t>
  </si>
  <si>
    <t>82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</si>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</sst>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4B4B4"/>
        <bgColor rgb="FFB4B4B4"/>
      </patternFill>
    </fill>
    <fill>
      <patternFill patternType="solid">
        <fgColor rgb="FFCCFFFF"/>
        <bgColor rgb="FFCCFFFF"/>
      </patternFill>
    </fill>
    <fill>
      <patternFill patternType="solid">
        <fgColor rgb="FF008080"/>
        <bgColor rgb="FF008080"/>
      </patternFill>
    </fill>
    <fill>
      <patternFill patternType="solid">
        <fgColor rgb="FFCCFFFF"/>
        <bgColor rgb="FFCCFFFF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4" fontId="8" fillId="0" borderId="16" xfId="0" applyNumberFormat="1" applyFont="1" applyFill="1" applyBorder="1" applyAlignment="1" applyProtection="1">
      <alignment horizontal="right" vertical="center"/>
    </xf>
    <xf numFmtId="0" fontId="8" fillId="0" borderId="16" xfId="0" applyNumberFormat="1" applyFont="1" applyFill="1" applyBorder="1" applyAlignment="1" applyProtection="1">
      <alignment horizontal="right" vertical="center"/>
    </xf>
    <xf numFmtId="0" fontId="7" fillId="0" borderId="19" xfId="0" applyNumberFormat="1" applyFont="1" applyFill="1" applyBorder="1" applyAlignment="1" applyProtection="1">
      <alignment horizontal="lef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0" fontId="8" fillId="0" borderId="23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4" fontId="7" fillId="2" borderId="13" xfId="0" applyNumberFormat="1" applyFont="1" applyFill="1" applyBorder="1" applyAlignment="1" applyProtection="1">
      <alignment horizontal="right" vertical="center"/>
    </xf>
    <xf numFmtId="4" fontId="7" fillId="2" borderId="18" xfId="0" applyNumberFormat="1" applyFont="1" applyFill="1" applyBorder="1" applyAlignment="1" applyProtection="1">
      <alignment horizontal="right" vertical="center"/>
    </xf>
    <xf numFmtId="0" fontId="9" fillId="0" borderId="40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horizontal="righ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49" xfId="0" applyNumberFormat="1" applyFont="1" applyFill="1" applyBorder="1" applyAlignment="1" applyProtection="1">
      <alignment horizontal="right" vertical="center"/>
    </xf>
    <xf numFmtId="0" fontId="2" fillId="0" borderId="49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right" vertical="center"/>
    </xf>
    <xf numFmtId="4" fontId="3" fillId="0" borderId="53" xfId="0" applyNumberFormat="1" applyFont="1" applyFill="1" applyBorder="1" applyAlignment="1" applyProtection="1">
      <alignment horizontal="right" vertical="center"/>
    </xf>
    <xf numFmtId="4" fontId="3" fillId="3" borderId="0" xfId="0" applyNumberFormat="1" applyFont="1" applyFill="1" applyBorder="1" applyAlignment="1" applyProtection="1">
      <alignment horizontal="righ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center" vertical="center"/>
    </xf>
    <xf numFmtId="0" fontId="3" fillId="4" borderId="61" xfId="0" applyNumberFormat="1" applyFont="1" applyFill="1" applyBorder="1" applyAlignment="1" applyProtection="1">
      <alignment horizontal="center" vertical="center"/>
      <protection locked="0"/>
    </xf>
    <xf numFmtId="0" fontId="3" fillId="0" borderId="62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3" xfId="0" applyNumberFormat="1" applyFont="1" applyFill="1" applyBorder="1" applyAlignment="1" applyProtection="1">
      <alignment horizontal="left" vertical="center"/>
    </xf>
    <xf numFmtId="0" fontId="2" fillId="0" borderId="64" xfId="0" applyNumberFormat="1" applyFont="1" applyFill="1" applyBorder="1" applyAlignment="1" applyProtection="1">
      <alignment horizontal="left" vertical="center"/>
    </xf>
    <xf numFmtId="0" fontId="3" fillId="4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NumberFormat="1" applyFont="1" applyFill="1" applyBorder="1" applyAlignment="1" applyProtection="1">
      <alignment horizontal="center" vertical="center"/>
    </xf>
    <xf numFmtId="0" fontId="3" fillId="0" borderId="26" xfId="0" applyNumberFormat="1" applyFont="1" applyFill="1" applyBorder="1" applyAlignment="1" applyProtection="1">
      <alignment horizontal="center" vertical="center"/>
    </xf>
    <xf numFmtId="0" fontId="3" fillId="0" borderId="69" xfId="0" applyNumberFormat="1" applyFont="1" applyFill="1" applyBorder="1" applyAlignment="1" applyProtection="1">
      <alignment horizontal="center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2" fillId="5" borderId="71" xfId="0" applyNumberFormat="1" applyFont="1" applyFill="1" applyBorder="1" applyAlignment="1" applyProtection="1">
      <alignment horizontal="left" vertical="center"/>
    </xf>
    <xf numFmtId="0" fontId="3" fillId="5" borderId="40" xfId="0" applyNumberFormat="1" applyFont="1" applyFill="1" applyBorder="1" applyAlignment="1" applyProtection="1">
      <alignment horizontal="left" vertical="center"/>
    </xf>
    <xf numFmtId="0" fontId="2" fillId="5" borderId="40" xfId="0" applyNumberFormat="1" applyFont="1" applyFill="1" applyBorder="1" applyAlignment="1" applyProtection="1">
      <alignment horizontal="left" vertical="center"/>
    </xf>
    <xf numFmtId="0" fontId="2" fillId="6" borderId="40" xfId="0" applyNumberFormat="1" applyFont="1" applyFill="1" applyBorder="1" applyAlignment="1" applyProtection="1">
      <alignment horizontal="left" vertical="center"/>
      <protection locked="0"/>
    </xf>
    <xf numFmtId="4" fontId="3" fillId="5" borderId="40" xfId="0" applyNumberFormat="1" applyFont="1" applyFill="1" applyBorder="1" applyAlignment="1" applyProtection="1">
      <alignment horizontal="right" vertical="center"/>
    </xf>
    <xf numFmtId="0" fontId="3" fillId="5" borderId="72" xfId="0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2" fillId="6" borderId="0" xfId="0" applyNumberFormat="1" applyFont="1" applyFill="1" applyBorder="1" applyAlignment="1" applyProtection="1">
      <alignment horizontal="left" vertical="center"/>
      <protection locked="0"/>
    </xf>
    <xf numFmtId="0" fontId="3" fillId="3" borderId="6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2" fillId="5" borderId="5" xfId="0" applyNumberFormat="1" applyFont="1" applyFill="1" applyBorder="1" applyAlignment="1" applyProtection="1">
      <alignment horizontal="left" vertical="center"/>
    </xf>
    <xf numFmtId="0" fontId="3" fillId="5" borderId="0" xfId="0" applyNumberFormat="1" applyFont="1" applyFill="1" applyBorder="1" applyAlignment="1" applyProtection="1">
      <alignment horizontal="left" vertical="center"/>
    </xf>
    <xf numFmtId="0" fontId="2" fillId="5" borderId="0" xfId="0" applyNumberFormat="1" applyFont="1" applyFill="1" applyBorder="1" applyAlignment="1" applyProtection="1">
      <alignment horizontal="left" vertical="center"/>
    </xf>
    <xf numFmtId="4" fontId="3" fillId="5" borderId="0" xfId="0" applyNumberFormat="1" applyFont="1" applyFill="1" applyBorder="1" applyAlignment="1" applyProtection="1">
      <alignment horizontal="right" vertical="center"/>
    </xf>
    <xf numFmtId="0" fontId="3" fillId="5" borderId="6" xfId="0" applyNumberFormat="1" applyFont="1" applyFill="1" applyBorder="1" applyAlignment="1" applyProtection="1">
      <alignment horizontal="right" vertical="center"/>
    </xf>
    <xf numFmtId="4" fontId="2" fillId="0" borderId="8" xfId="0" applyNumberFormat="1" applyFont="1" applyFill="1" applyBorder="1" applyAlignment="1" applyProtection="1">
      <alignment horizontal="right" vertical="center"/>
    </xf>
    <xf numFmtId="4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NumberFormat="1" applyFont="1" applyFill="1" applyBorder="1" applyAlignment="1" applyProtection="1">
      <alignment horizontal="right" vertical="center"/>
    </xf>
    <xf numFmtId="4" fontId="3" fillId="0" borderId="73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7" fillId="0" borderId="20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left" vertical="center"/>
    </xf>
    <xf numFmtId="0" fontId="8" fillId="0" borderId="18" xfId="0" applyNumberFormat="1" applyFont="1" applyFill="1" applyBorder="1" applyAlignment="1" applyProtection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7" fillId="0" borderId="17" xfId="0" applyNumberFormat="1" applyFont="1" applyFill="1" applyBorder="1" applyAlignment="1" applyProtection="1">
      <alignment horizontal="left" vertical="center"/>
    </xf>
    <xf numFmtId="0" fontId="7" fillId="2" borderId="25" xfId="0" applyNumberFormat="1" applyFont="1" applyFill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7" fillId="2" borderId="20" xfId="0" applyNumberFormat="1" applyFont="1" applyFill="1" applyBorder="1" applyAlignment="1" applyProtection="1">
      <alignment horizontal="left" vertical="center"/>
    </xf>
    <xf numFmtId="0" fontId="7" fillId="2" borderId="28" xfId="0" applyNumberFormat="1" applyFont="1" applyFill="1" applyBorder="1" applyAlignment="1" applyProtection="1">
      <alignment horizontal="left" vertical="center"/>
    </xf>
    <xf numFmtId="0" fontId="7" fillId="2" borderId="12" xfId="0" applyNumberFormat="1" applyFont="1" applyFill="1" applyBorder="1" applyAlignment="1" applyProtection="1">
      <alignment horizontal="left" vertical="center"/>
    </xf>
    <xf numFmtId="0" fontId="7" fillId="2" borderId="17" xfId="0" applyNumberFormat="1" applyFont="1" applyFill="1" applyBorder="1" applyAlignment="1" applyProtection="1">
      <alignment horizontal="left" vertical="center"/>
    </xf>
    <xf numFmtId="0" fontId="8" fillId="0" borderId="29" xfId="0" applyNumberFormat="1" applyFont="1" applyFill="1" applyBorder="1" applyAlignment="1" applyProtection="1">
      <alignment horizontal="left" vertical="center"/>
    </xf>
    <xf numFmtId="0" fontId="8" fillId="0" borderId="3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34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7" fillId="0" borderId="41" xfId="0" applyNumberFormat="1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  <xf numFmtId="0" fontId="2" fillId="0" borderId="20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2" fillId="0" borderId="46" xfId="0" applyNumberFormat="1" applyFont="1" applyFill="1" applyBorder="1" applyAlignment="1" applyProtection="1">
      <alignment horizontal="left" vertical="center"/>
    </xf>
    <xf numFmtId="0" fontId="2" fillId="0" borderId="47" xfId="0" applyNumberFormat="1" applyFont="1" applyFill="1" applyBorder="1" applyAlignment="1" applyProtection="1">
      <alignment horizontal="left" vertical="center"/>
    </xf>
    <xf numFmtId="0" fontId="2" fillId="0" borderId="4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7" fillId="0" borderId="50" xfId="0" applyNumberFormat="1" applyFont="1" applyFill="1" applyBorder="1" applyAlignment="1" applyProtection="1">
      <alignment horizontal="left" vertical="center"/>
    </xf>
    <xf numFmtId="0" fontId="7" fillId="0" borderId="51" xfId="0" applyNumberFormat="1" applyFont="1" applyFill="1" applyBorder="1" applyAlignment="1" applyProtection="1">
      <alignment horizontal="left" vertical="center"/>
    </xf>
    <xf numFmtId="0" fontId="7" fillId="0" borderId="52" xfId="0" applyNumberFormat="1" applyFont="1" applyFill="1" applyBorder="1" applyAlignment="1" applyProtection="1">
      <alignment horizontal="left" vertical="center"/>
    </xf>
    <xf numFmtId="4" fontId="7" fillId="0" borderId="54" xfId="0" applyNumberFormat="1" applyFont="1" applyFill="1" applyBorder="1" applyAlignment="1" applyProtection="1">
      <alignment horizontal="right" vertical="center"/>
    </xf>
    <xf numFmtId="0" fontId="7" fillId="0" borderId="51" xfId="0" applyNumberFormat="1" applyFont="1" applyFill="1" applyBorder="1" applyAlignment="1" applyProtection="1">
      <alignment horizontal="right" vertical="center"/>
    </xf>
    <xf numFmtId="0" fontId="7" fillId="0" borderId="52" xfId="0" applyNumberFormat="1" applyFont="1" applyFill="1" applyBorder="1" applyAlignment="1" applyProtection="1">
      <alignment horizontal="righ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41" xfId="0" applyNumberFormat="1" applyFont="1" applyFill="1" applyBorder="1" applyAlignment="1" applyProtection="1">
      <alignment horizontal="left" vertical="center"/>
    </xf>
    <xf numFmtId="0" fontId="2" fillId="4" borderId="3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41" xfId="0" applyNumberFormat="1" applyFont="1" applyFill="1" applyBorder="1" applyAlignment="1" applyProtection="1">
      <alignment horizontal="left" vertical="center"/>
      <protection locked="0"/>
    </xf>
    <xf numFmtId="0" fontId="2" fillId="4" borderId="6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6" xfId="0" applyNumberFormat="1" applyFont="1" applyFill="1" applyBorder="1" applyAlignment="1" applyProtection="1">
      <alignment horizontal="left" vertical="center"/>
      <protection locked="0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center" vertical="center"/>
    </xf>
    <xf numFmtId="0" fontId="3" fillId="0" borderId="43" xfId="0" applyNumberFormat="1" applyFont="1" applyFill="1" applyBorder="1" applyAlignment="1" applyProtection="1">
      <alignment horizontal="center" vertical="center"/>
    </xf>
    <xf numFmtId="0" fontId="3" fillId="0" borderId="44" xfId="0" applyNumberFormat="1" applyFont="1" applyFill="1" applyBorder="1" applyAlignment="1" applyProtection="1">
      <alignment horizontal="center" vertical="center"/>
    </xf>
    <xf numFmtId="0" fontId="3" fillId="5" borderId="40" xfId="0" applyNumberFormat="1" applyFont="1" applyFill="1" applyBorder="1" applyAlignment="1" applyProtection="1">
      <alignment horizontal="left" vertical="center" wrapText="1"/>
    </xf>
    <xf numFmtId="0" fontId="3" fillId="5" borderId="4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4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6" xfId="0" applyNumberFormat="1" applyFont="1" applyFill="1" applyBorder="1" applyAlignment="1" applyProtection="1">
      <alignment horizontal="left" vertical="center"/>
    </xf>
    <xf numFmtId="0" fontId="3" fillId="5" borderId="0" xfId="0" applyNumberFormat="1" applyFont="1" applyFill="1" applyBorder="1" applyAlignment="1" applyProtection="1">
      <alignment horizontal="left" vertical="center" wrapText="1"/>
    </xf>
    <xf numFmtId="0" fontId="3" fillId="5" borderId="0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3" fillId="0" borderId="73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A37" sqref="A37:I37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7.1796875" customWidth="1"/>
    <col min="4" max="4" width="10" customWidth="1"/>
    <col min="5" max="5" width="14" customWidth="1"/>
    <col min="6" max="6" width="27.1796875" customWidth="1"/>
    <col min="7" max="7" width="9.1796875" customWidth="1"/>
    <col min="8" max="8" width="12.81640625" customWidth="1"/>
    <col min="9" max="9" width="27.1796875" customWidth="1"/>
  </cols>
  <sheetData>
    <row r="1" spans="1:9" ht="54.75" customHeight="1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4.5" x14ac:dyDescent="0.35">
      <c r="A2" s="72" t="s">
        <v>1</v>
      </c>
      <c r="B2" s="73"/>
      <c r="C2" s="81" t="str">
        <f>'Stavební rozpočet'!C2</f>
        <v>Zahrada ZŠ a MŠ Bílá, Praha 6 Dejvice – Rehabilitace vegetační složky – ETAPA 1</v>
      </c>
      <c r="D2" s="82"/>
      <c r="E2" s="79" t="s">
        <v>2</v>
      </c>
      <c r="F2" s="79" t="str">
        <f>'Stavební rozpočet'!I2</f>
        <v> </v>
      </c>
      <c r="G2" s="73"/>
      <c r="H2" s="79" t="s">
        <v>3</v>
      </c>
      <c r="I2" s="84" t="s">
        <v>4</v>
      </c>
    </row>
    <row r="3" spans="1:9" ht="39" customHeight="1" x14ac:dyDescent="0.35">
      <c r="A3" s="74"/>
      <c r="B3" s="75"/>
      <c r="C3" s="83"/>
      <c r="D3" s="83"/>
      <c r="E3" s="75"/>
      <c r="F3" s="75"/>
      <c r="G3" s="75"/>
      <c r="H3" s="75"/>
      <c r="I3" s="85"/>
    </row>
    <row r="4" spans="1:9" ht="14.5" x14ac:dyDescent="0.35">
      <c r="A4" s="76" t="s">
        <v>5</v>
      </c>
      <c r="B4" s="75"/>
      <c r="C4" s="80" t="str">
        <f>'Stavební rozpočet'!C4</f>
        <v>Vegetační úpravy</v>
      </c>
      <c r="D4" s="75"/>
      <c r="E4" s="80" t="s">
        <v>6</v>
      </c>
      <c r="F4" s="80" t="str">
        <f>'Stavební rozpočet'!I4</f>
        <v>Ing. Přemysl Krejčiřík, Ph.D.</v>
      </c>
      <c r="G4" s="75"/>
      <c r="H4" s="80" t="s">
        <v>3</v>
      </c>
      <c r="I4" s="85" t="s">
        <v>7</v>
      </c>
    </row>
    <row r="5" spans="1:9" ht="15" customHeight="1" x14ac:dyDescent="0.35">
      <c r="A5" s="74"/>
      <c r="B5" s="75"/>
      <c r="C5" s="75"/>
      <c r="D5" s="75"/>
      <c r="E5" s="75"/>
      <c r="F5" s="75"/>
      <c r="G5" s="75"/>
      <c r="H5" s="75"/>
      <c r="I5" s="85"/>
    </row>
    <row r="6" spans="1:9" ht="14.5" x14ac:dyDescent="0.35">
      <c r="A6" s="76" t="s">
        <v>8</v>
      </c>
      <c r="B6" s="75"/>
      <c r="C6" s="80" t="str">
        <f>'Stavební rozpočet'!C6</f>
        <v>Praha Dejvice</v>
      </c>
      <c r="D6" s="75"/>
      <c r="E6" s="80" t="s">
        <v>9</v>
      </c>
      <c r="F6" s="80" t="str">
        <f>'Stavební rozpočet'!I6</f>
        <v> </v>
      </c>
      <c r="G6" s="75"/>
      <c r="H6" s="80" t="s">
        <v>3</v>
      </c>
      <c r="I6" s="85" t="s">
        <v>4</v>
      </c>
    </row>
    <row r="7" spans="1:9" ht="15" customHeight="1" x14ac:dyDescent="0.35">
      <c r="A7" s="74"/>
      <c r="B7" s="75"/>
      <c r="C7" s="75"/>
      <c r="D7" s="75"/>
      <c r="E7" s="75"/>
      <c r="F7" s="75"/>
      <c r="G7" s="75"/>
      <c r="H7" s="75"/>
      <c r="I7" s="85"/>
    </row>
    <row r="8" spans="1:9" ht="14.5" x14ac:dyDescent="0.35">
      <c r="A8" s="76" t="s">
        <v>10</v>
      </c>
      <c r="B8" s="75"/>
      <c r="C8" s="80" t="str">
        <f>'Stavební rozpočet'!G4</f>
        <v xml:space="preserve"> </v>
      </c>
      <c r="D8" s="75"/>
      <c r="E8" s="80" t="s">
        <v>11</v>
      </c>
      <c r="F8" s="80" t="str">
        <f>'Stavební rozpočet'!G6</f>
        <v xml:space="preserve"> </v>
      </c>
      <c r="G8" s="75"/>
      <c r="H8" s="75" t="s">
        <v>12</v>
      </c>
      <c r="I8" s="86">
        <v>82</v>
      </c>
    </row>
    <row r="9" spans="1:9" ht="14.5" x14ac:dyDescent="0.35">
      <c r="A9" s="74"/>
      <c r="B9" s="75"/>
      <c r="C9" s="75"/>
      <c r="D9" s="75"/>
      <c r="E9" s="75"/>
      <c r="F9" s="75"/>
      <c r="G9" s="75"/>
      <c r="H9" s="75"/>
      <c r="I9" s="85"/>
    </row>
    <row r="10" spans="1:9" ht="14.5" x14ac:dyDescent="0.35">
      <c r="A10" s="76" t="s">
        <v>13</v>
      </c>
      <c r="B10" s="75"/>
      <c r="C10" s="80" t="str">
        <f>'Stavební rozpočet'!C8</f>
        <v xml:space="preserve"> </v>
      </c>
      <c r="D10" s="75"/>
      <c r="E10" s="80" t="s">
        <v>14</v>
      </c>
      <c r="F10" s="80" t="str">
        <f>'Stavební rozpočet'!I8</f>
        <v>Ateliér Krejčiříkovi</v>
      </c>
      <c r="G10" s="75"/>
      <c r="H10" s="75" t="s">
        <v>15</v>
      </c>
      <c r="I10" s="87" t="str">
        <f>'Stavební rozpočet'!G8</f>
        <v>20.10.2025</v>
      </c>
    </row>
    <row r="11" spans="1:9" ht="14.5" x14ac:dyDescent="0.35">
      <c r="A11" s="77"/>
      <c r="B11" s="78"/>
      <c r="C11" s="78"/>
      <c r="D11" s="78"/>
      <c r="E11" s="78"/>
      <c r="F11" s="78"/>
      <c r="G11" s="78"/>
      <c r="H11" s="78"/>
      <c r="I11" s="88"/>
    </row>
    <row r="12" spans="1:9" ht="23" x14ac:dyDescent="0.35">
      <c r="A12" s="89" t="s">
        <v>16</v>
      </c>
      <c r="B12" s="89"/>
      <c r="C12" s="89"/>
      <c r="D12" s="89"/>
      <c r="E12" s="89"/>
      <c r="F12" s="89"/>
      <c r="G12" s="89"/>
      <c r="H12" s="89"/>
      <c r="I12" s="89"/>
    </row>
    <row r="13" spans="1:9" ht="26.25" customHeight="1" x14ac:dyDescent="0.35">
      <c r="A13" s="6" t="s">
        <v>17</v>
      </c>
      <c r="B13" s="90" t="s">
        <v>18</v>
      </c>
      <c r="C13" s="91"/>
      <c r="D13" s="7" t="s">
        <v>19</v>
      </c>
      <c r="E13" s="90" t="s">
        <v>20</v>
      </c>
      <c r="F13" s="91"/>
      <c r="G13" s="7" t="s">
        <v>21</v>
      </c>
      <c r="H13" s="90" t="s">
        <v>22</v>
      </c>
      <c r="I13" s="91"/>
    </row>
    <row r="14" spans="1:9" ht="15.5" x14ac:dyDescent="0.35">
      <c r="A14" s="8" t="s">
        <v>23</v>
      </c>
      <c r="B14" s="9" t="s">
        <v>24</v>
      </c>
      <c r="C14" s="10">
        <f>SUM('Stavební rozpočet'!AB12:AB244)</f>
        <v>0</v>
      </c>
      <c r="D14" s="98" t="s">
        <v>4</v>
      </c>
      <c r="E14" s="99"/>
      <c r="F14" s="10">
        <f>VORN!I15</f>
        <v>0</v>
      </c>
      <c r="G14" s="98" t="s">
        <v>25</v>
      </c>
      <c r="H14" s="99"/>
      <c r="I14" s="11">
        <f>VORN!I21</f>
        <v>0</v>
      </c>
    </row>
    <row r="15" spans="1:9" ht="15.5" x14ac:dyDescent="0.35">
      <c r="A15" s="12" t="s">
        <v>4</v>
      </c>
      <c r="B15" s="9" t="s">
        <v>26</v>
      </c>
      <c r="C15" s="10">
        <f>SUM('Stavební rozpočet'!AC12:AC244)</f>
        <v>0</v>
      </c>
      <c r="D15" s="98" t="s">
        <v>4</v>
      </c>
      <c r="E15" s="99"/>
      <c r="F15" s="10">
        <f>VORN!I16</f>
        <v>0</v>
      </c>
      <c r="G15" s="98" t="s">
        <v>27</v>
      </c>
      <c r="H15" s="99"/>
      <c r="I15" s="11">
        <f>VORN!I22</f>
        <v>0</v>
      </c>
    </row>
    <row r="16" spans="1:9" ht="15.5" x14ac:dyDescent="0.35">
      <c r="A16" s="8" t="s">
        <v>28</v>
      </c>
      <c r="B16" s="9" t="s">
        <v>24</v>
      </c>
      <c r="C16" s="10">
        <f>SUM('Stavební rozpočet'!AD12:AD244)</f>
        <v>0</v>
      </c>
      <c r="D16" s="98" t="s">
        <v>4</v>
      </c>
      <c r="E16" s="99"/>
      <c r="F16" s="10">
        <f>VORN!I17</f>
        <v>0</v>
      </c>
      <c r="G16" s="98" t="s">
        <v>29</v>
      </c>
      <c r="H16" s="99"/>
      <c r="I16" s="11">
        <f>VORN!I23</f>
        <v>0</v>
      </c>
    </row>
    <row r="17" spans="1:9" ht="15.5" x14ac:dyDescent="0.35">
      <c r="A17" s="12" t="s">
        <v>4</v>
      </c>
      <c r="B17" s="9" t="s">
        <v>26</v>
      </c>
      <c r="C17" s="10">
        <f>SUM('Stavební rozpočet'!AE12:AE244)</f>
        <v>0</v>
      </c>
      <c r="D17" s="98" t="s">
        <v>4</v>
      </c>
      <c r="E17" s="99"/>
      <c r="F17" s="11" t="s">
        <v>4</v>
      </c>
      <c r="G17" s="98" t="s">
        <v>30</v>
      </c>
      <c r="H17" s="99"/>
      <c r="I17" s="11">
        <f>VORN!I24</f>
        <v>0</v>
      </c>
    </row>
    <row r="18" spans="1:9" ht="15.5" x14ac:dyDescent="0.35">
      <c r="A18" s="8" t="s">
        <v>31</v>
      </c>
      <c r="B18" s="9" t="s">
        <v>24</v>
      </c>
      <c r="C18" s="10">
        <f>SUM('Stavební rozpočet'!AF12:AF244)</f>
        <v>0</v>
      </c>
      <c r="D18" s="98" t="s">
        <v>4</v>
      </c>
      <c r="E18" s="99"/>
      <c r="F18" s="11" t="s">
        <v>4</v>
      </c>
      <c r="G18" s="98" t="s">
        <v>32</v>
      </c>
      <c r="H18" s="99"/>
      <c r="I18" s="11">
        <f>VORN!I25</f>
        <v>0</v>
      </c>
    </row>
    <row r="19" spans="1:9" ht="15.5" x14ac:dyDescent="0.35">
      <c r="A19" s="12" t="s">
        <v>4</v>
      </c>
      <c r="B19" s="9" t="s">
        <v>26</v>
      </c>
      <c r="C19" s="10">
        <f>SUM('Stavební rozpočet'!AG12:AG244)</f>
        <v>0</v>
      </c>
      <c r="D19" s="98" t="s">
        <v>4</v>
      </c>
      <c r="E19" s="99"/>
      <c r="F19" s="11" t="s">
        <v>4</v>
      </c>
      <c r="G19" s="98" t="s">
        <v>33</v>
      </c>
      <c r="H19" s="99"/>
      <c r="I19" s="11">
        <f>VORN!I26</f>
        <v>0</v>
      </c>
    </row>
    <row r="20" spans="1:9" ht="15.5" x14ac:dyDescent="0.35">
      <c r="A20" s="92" t="s">
        <v>34</v>
      </c>
      <c r="B20" s="93"/>
      <c r="C20" s="10">
        <f>SUM('Stavební rozpočet'!AH12:AH244)</f>
        <v>0</v>
      </c>
      <c r="D20" s="98" t="s">
        <v>4</v>
      </c>
      <c r="E20" s="99"/>
      <c r="F20" s="11" t="s">
        <v>4</v>
      </c>
      <c r="G20" s="98" t="s">
        <v>4</v>
      </c>
      <c r="H20" s="99"/>
      <c r="I20" s="11" t="s">
        <v>4</v>
      </c>
    </row>
    <row r="21" spans="1:9" ht="15.5" x14ac:dyDescent="0.35">
      <c r="A21" s="94" t="s">
        <v>35</v>
      </c>
      <c r="B21" s="95"/>
      <c r="C21" s="13">
        <f>SUM('Stavební rozpočet'!Z12:Z244)</f>
        <v>0</v>
      </c>
      <c r="D21" s="100" t="s">
        <v>4</v>
      </c>
      <c r="E21" s="101"/>
      <c r="F21" s="14" t="s">
        <v>4</v>
      </c>
      <c r="G21" s="100" t="s">
        <v>4</v>
      </c>
      <c r="H21" s="101"/>
      <c r="I21" s="14" t="s">
        <v>4</v>
      </c>
    </row>
    <row r="22" spans="1:9" ht="16.5" customHeight="1" x14ac:dyDescent="0.35">
      <c r="A22" s="96" t="s">
        <v>36</v>
      </c>
      <c r="B22" s="97"/>
      <c r="C22" s="15">
        <f>ROUND(SUM(C14:C21),2)</f>
        <v>0</v>
      </c>
      <c r="D22" s="102" t="s">
        <v>37</v>
      </c>
      <c r="E22" s="97"/>
      <c r="F22" s="15">
        <f>SUM(F14:F21)</f>
        <v>0</v>
      </c>
      <c r="G22" s="102" t="s">
        <v>38</v>
      </c>
      <c r="H22" s="97"/>
      <c r="I22" s="15">
        <f>SUM(I14:I21)</f>
        <v>0</v>
      </c>
    </row>
    <row r="23" spans="1:9" ht="15.5" x14ac:dyDescent="0.35">
      <c r="D23" s="92" t="s">
        <v>39</v>
      </c>
      <c r="E23" s="93"/>
      <c r="F23" s="16">
        <v>0</v>
      </c>
      <c r="G23" s="103" t="s">
        <v>40</v>
      </c>
      <c r="H23" s="93"/>
      <c r="I23" s="10">
        <v>0</v>
      </c>
    </row>
    <row r="24" spans="1:9" ht="15.5" x14ac:dyDescent="0.35">
      <c r="G24" s="92" t="s">
        <v>41</v>
      </c>
      <c r="H24" s="93"/>
      <c r="I24" s="13">
        <f>vorn_sum</f>
        <v>0</v>
      </c>
    </row>
    <row r="25" spans="1:9" ht="15.5" x14ac:dyDescent="0.35">
      <c r="G25" s="92" t="s">
        <v>42</v>
      </c>
      <c r="H25" s="93"/>
      <c r="I25" s="15">
        <v>0</v>
      </c>
    </row>
    <row r="27" spans="1:9" ht="15.5" x14ac:dyDescent="0.35">
      <c r="A27" s="104" t="s">
        <v>43</v>
      </c>
      <c r="B27" s="105"/>
      <c r="C27" s="17">
        <f>ROUND(SUM('Stavební rozpočet'!AJ12:AJ244),2)</f>
        <v>0</v>
      </c>
    </row>
    <row r="28" spans="1:9" ht="15.5" x14ac:dyDescent="0.35">
      <c r="A28" s="106" t="s">
        <v>44</v>
      </c>
      <c r="B28" s="107"/>
      <c r="C28" s="18">
        <f>ROUND(SUM('Stavební rozpočet'!AK12:AK244),2)</f>
        <v>0</v>
      </c>
      <c r="D28" s="108" t="s">
        <v>45</v>
      </c>
      <c r="E28" s="105"/>
      <c r="F28" s="17">
        <f>ROUND(C28*(12/100),2)</f>
        <v>0</v>
      </c>
      <c r="G28" s="108" t="s">
        <v>46</v>
      </c>
      <c r="H28" s="105"/>
      <c r="I28" s="17">
        <f>ROUND(SUM(C27:C29),2)</f>
        <v>0</v>
      </c>
    </row>
    <row r="29" spans="1:9" ht="15.5" x14ac:dyDescent="0.35">
      <c r="A29" s="106" t="s">
        <v>47</v>
      </c>
      <c r="B29" s="107"/>
      <c r="C29" s="18">
        <f>ROUND(SUM('Stavební rozpočet'!AL12:AL244)+(F22+I22+F23+I23+I24+I25),2)</f>
        <v>0</v>
      </c>
      <c r="D29" s="109" t="s">
        <v>48</v>
      </c>
      <c r="E29" s="107"/>
      <c r="F29" s="18">
        <f>ROUND(C29*(21/100),2)</f>
        <v>0</v>
      </c>
      <c r="G29" s="109" t="s">
        <v>49</v>
      </c>
      <c r="H29" s="107"/>
      <c r="I29" s="18">
        <f>ROUND(SUM(F28:F29)+I28,2)</f>
        <v>0</v>
      </c>
    </row>
    <row r="31" spans="1:9" ht="15.5" x14ac:dyDescent="0.35">
      <c r="A31" s="110" t="s">
        <v>50</v>
      </c>
      <c r="B31" s="111"/>
      <c r="C31" s="112"/>
      <c r="D31" s="119" t="s">
        <v>51</v>
      </c>
      <c r="E31" s="111"/>
      <c r="F31" s="112"/>
      <c r="G31" s="119" t="s">
        <v>52</v>
      </c>
      <c r="H31" s="111"/>
      <c r="I31" s="112"/>
    </row>
    <row r="32" spans="1:9" ht="15.5" x14ac:dyDescent="0.35">
      <c r="A32" s="113" t="s">
        <v>4</v>
      </c>
      <c r="B32" s="114"/>
      <c r="C32" s="115"/>
      <c r="D32" s="120" t="s">
        <v>4</v>
      </c>
      <c r="E32" s="114"/>
      <c r="F32" s="115"/>
      <c r="G32" s="120" t="s">
        <v>4</v>
      </c>
      <c r="H32" s="114"/>
      <c r="I32" s="115"/>
    </row>
    <row r="33" spans="1:9" ht="15.5" x14ac:dyDescent="0.35">
      <c r="A33" s="113" t="s">
        <v>4</v>
      </c>
      <c r="B33" s="114"/>
      <c r="C33" s="115"/>
      <c r="D33" s="120" t="s">
        <v>4</v>
      </c>
      <c r="E33" s="114"/>
      <c r="F33" s="115"/>
      <c r="G33" s="120" t="s">
        <v>4</v>
      </c>
      <c r="H33" s="114"/>
      <c r="I33" s="115"/>
    </row>
    <row r="34" spans="1:9" ht="15.5" x14ac:dyDescent="0.35">
      <c r="A34" s="113" t="s">
        <v>4</v>
      </c>
      <c r="B34" s="114"/>
      <c r="C34" s="115"/>
      <c r="D34" s="120" t="s">
        <v>4</v>
      </c>
      <c r="E34" s="114"/>
      <c r="F34" s="115"/>
      <c r="G34" s="120" t="s">
        <v>4</v>
      </c>
      <c r="H34" s="114"/>
      <c r="I34" s="115"/>
    </row>
    <row r="35" spans="1:9" ht="15.5" x14ac:dyDescent="0.35">
      <c r="A35" s="116" t="s">
        <v>53</v>
      </c>
      <c r="B35" s="117"/>
      <c r="C35" s="118"/>
      <c r="D35" s="121" t="s">
        <v>53</v>
      </c>
      <c r="E35" s="117"/>
      <c r="F35" s="118"/>
      <c r="G35" s="121" t="s">
        <v>53</v>
      </c>
      <c r="H35" s="117"/>
      <c r="I35" s="118"/>
    </row>
    <row r="36" spans="1:9" ht="14.5" x14ac:dyDescent="0.35">
      <c r="A36" s="19" t="s">
        <v>54</v>
      </c>
    </row>
    <row r="37" spans="1:9" ht="12.75" customHeight="1" x14ac:dyDescent="0.35">
      <c r="A37" s="80" t="s">
        <v>4</v>
      </c>
      <c r="B37" s="75"/>
      <c r="C37" s="75"/>
      <c r="D37" s="75"/>
      <c r="E37" s="75"/>
      <c r="F37" s="75"/>
      <c r="G37" s="75"/>
      <c r="H37" s="75"/>
      <c r="I37" s="75"/>
    </row>
  </sheetData>
  <sheetProtection password="CA5F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6" sqref="A36:E36"/>
    </sheetView>
  </sheetViews>
  <sheetFormatPr defaultColWidth="12.1796875" defaultRowHeight="15" customHeight="1" x14ac:dyDescent="0.35"/>
  <cols>
    <col min="1" max="1" width="9.1796875" customWidth="1"/>
    <col min="2" max="2" width="12.81640625" customWidth="1"/>
    <col min="3" max="3" width="22.81640625" customWidth="1"/>
    <col min="4" max="4" width="10" customWidth="1"/>
    <col min="5" max="5" width="14" customWidth="1"/>
    <col min="6" max="6" width="22.81640625" customWidth="1"/>
    <col min="7" max="7" width="9.1796875" customWidth="1"/>
    <col min="8" max="8" width="17.1796875" customWidth="1"/>
    <col min="9" max="9" width="22.81640625" customWidth="1"/>
  </cols>
  <sheetData>
    <row r="1" spans="1:9" ht="54.75" customHeight="1" x14ac:dyDescent="0.35">
      <c r="A1" s="70" t="s">
        <v>55</v>
      </c>
      <c r="B1" s="71"/>
      <c r="C1" s="71"/>
      <c r="D1" s="71"/>
      <c r="E1" s="71"/>
      <c r="F1" s="71"/>
      <c r="G1" s="71"/>
      <c r="H1" s="71"/>
      <c r="I1" s="71"/>
    </row>
    <row r="2" spans="1:9" ht="14.5" x14ac:dyDescent="0.35">
      <c r="A2" s="72" t="s">
        <v>1</v>
      </c>
      <c r="B2" s="73"/>
      <c r="C2" s="81" t="str">
        <f>'Stavební rozpočet'!C2</f>
        <v>Zahrada ZŠ a MŠ Bílá, Praha 6 Dejvice – Rehabilitace vegetační složky – ETAPA 1</v>
      </c>
      <c r="D2" s="82"/>
      <c r="E2" s="79" t="s">
        <v>2</v>
      </c>
      <c r="F2" s="79" t="str">
        <f>'Stavební rozpočet'!I2</f>
        <v> </v>
      </c>
      <c r="G2" s="73"/>
      <c r="H2" s="79" t="s">
        <v>3</v>
      </c>
      <c r="I2" s="84" t="s">
        <v>4</v>
      </c>
    </row>
    <row r="3" spans="1:9" ht="39" customHeight="1" x14ac:dyDescent="0.35">
      <c r="A3" s="74"/>
      <c r="B3" s="75"/>
      <c r="C3" s="83"/>
      <c r="D3" s="83"/>
      <c r="E3" s="75"/>
      <c r="F3" s="75"/>
      <c r="G3" s="75"/>
      <c r="H3" s="75"/>
      <c r="I3" s="85"/>
    </row>
    <row r="4" spans="1:9" ht="14.5" x14ac:dyDescent="0.35">
      <c r="A4" s="76" t="s">
        <v>5</v>
      </c>
      <c r="B4" s="75"/>
      <c r="C4" s="80" t="str">
        <f>'Stavební rozpočet'!C4</f>
        <v>Vegetační úpravy</v>
      </c>
      <c r="D4" s="75"/>
      <c r="E4" s="80" t="s">
        <v>6</v>
      </c>
      <c r="F4" s="80" t="str">
        <f>'Stavební rozpočet'!I4</f>
        <v>Ing. Přemysl Krejčiřík, Ph.D.</v>
      </c>
      <c r="G4" s="75"/>
      <c r="H4" s="80" t="s">
        <v>3</v>
      </c>
      <c r="I4" s="85" t="s">
        <v>7</v>
      </c>
    </row>
    <row r="5" spans="1:9" ht="15" customHeight="1" x14ac:dyDescent="0.35">
      <c r="A5" s="74"/>
      <c r="B5" s="75"/>
      <c r="C5" s="75"/>
      <c r="D5" s="75"/>
      <c r="E5" s="75"/>
      <c r="F5" s="75"/>
      <c r="G5" s="75"/>
      <c r="H5" s="75"/>
      <c r="I5" s="85"/>
    </row>
    <row r="6" spans="1:9" ht="14.5" x14ac:dyDescent="0.35">
      <c r="A6" s="76" t="s">
        <v>8</v>
      </c>
      <c r="B6" s="75"/>
      <c r="C6" s="80" t="str">
        <f>'Stavební rozpočet'!C6</f>
        <v>Praha Dejvice</v>
      </c>
      <c r="D6" s="75"/>
      <c r="E6" s="80" t="s">
        <v>9</v>
      </c>
      <c r="F6" s="80" t="str">
        <f>'Stavební rozpočet'!I6</f>
        <v> </v>
      </c>
      <c r="G6" s="75"/>
      <c r="H6" s="80" t="s">
        <v>3</v>
      </c>
      <c r="I6" s="85" t="s">
        <v>4</v>
      </c>
    </row>
    <row r="7" spans="1:9" ht="15" customHeight="1" x14ac:dyDescent="0.35">
      <c r="A7" s="74"/>
      <c r="B7" s="75"/>
      <c r="C7" s="75"/>
      <c r="D7" s="75"/>
      <c r="E7" s="75"/>
      <c r="F7" s="75"/>
      <c r="G7" s="75"/>
      <c r="H7" s="75"/>
      <c r="I7" s="85"/>
    </row>
    <row r="8" spans="1:9" ht="14.5" x14ac:dyDescent="0.35">
      <c r="A8" s="76" t="s">
        <v>10</v>
      </c>
      <c r="B8" s="75"/>
      <c r="C8" s="80" t="str">
        <f>'Stavební rozpočet'!G4</f>
        <v xml:space="preserve"> </v>
      </c>
      <c r="D8" s="75"/>
      <c r="E8" s="80" t="s">
        <v>11</v>
      </c>
      <c r="F8" s="80" t="str">
        <f>'Stavební rozpočet'!G6</f>
        <v xml:space="preserve"> </v>
      </c>
      <c r="G8" s="75"/>
      <c r="H8" s="75" t="s">
        <v>12</v>
      </c>
      <c r="I8" s="86">
        <v>82</v>
      </c>
    </row>
    <row r="9" spans="1:9" ht="14.5" x14ac:dyDescent="0.35">
      <c r="A9" s="74"/>
      <c r="B9" s="75"/>
      <c r="C9" s="75"/>
      <c r="D9" s="75"/>
      <c r="E9" s="75"/>
      <c r="F9" s="75"/>
      <c r="G9" s="75"/>
      <c r="H9" s="75"/>
      <c r="I9" s="85"/>
    </row>
    <row r="10" spans="1:9" ht="14.5" x14ac:dyDescent="0.35">
      <c r="A10" s="76" t="s">
        <v>13</v>
      </c>
      <c r="B10" s="75"/>
      <c r="C10" s="80" t="str">
        <f>'Stavební rozpočet'!C8</f>
        <v xml:space="preserve"> </v>
      </c>
      <c r="D10" s="75"/>
      <c r="E10" s="80" t="s">
        <v>14</v>
      </c>
      <c r="F10" s="80" t="str">
        <f>'Stavební rozpočet'!I8</f>
        <v>Ateliér Krejčiříkovi</v>
      </c>
      <c r="G10" s="75"/>
      <c r="H10" s="75" t="s">
        <v>15</v>
      </c>
      <c r="I10" s="87" t="str">
        <f>'Stavební rozpočet'!G8</f>
        <v>20.10.2025</v>
      </c>
    </row>
    <row r="11" spans="1:9" ht="14.5" x14ac:dyDescent="0.35">
      <c r="A11" s="77"/>
      <c r="B11" s="78"/>
      <c r="C11" s="78"/>
      <c r="D11" s="78"/>
      <c r="E11" s="78"/>
      <c r="F11" s="78"/>
      <c r="G11" s="78"/>
      <c r="H11" s="78"/>
      <c r="I11" s="88"/>
    </row>
    <row r="13" spans="1:9" ht="15.5" x14ac:dyDescent="0.35">
      <c r="A13" s="122" t="s">
        <v>56</v>
      </c>
      <c r="B13" s="122"/>
      <c r="C13" s="122"/>
      <c r="D13" s="122"/>
      <c r="E13" s="122"/>
    </row>
    <row r="14" spans="1:9" ht="14.5" x14ac:dyDescent="0.35">
      <c r="A14" s="123" t="s">
        <v>57</v>
      </c>
      <c r="B14" s="124"/>
      <c r="C14" s="124"/>
      <c r="D14" s="124"/>
      <c r="E14" s="125"/>
      <c r="F14" s="20" t="s">
        <v>58</v>
      </c>
      <c r="G14" s="20" t="s">
        <v>59</v>
      </c>
      <c r="H14" s="20" t="s">
        <v>60</v>
      </c>
      <c r="I14" s="20" t="s">
        <v>58</v>
      </c>
    </row>
    <row r="15" spans="1:9" ht="14.5" x14ac:dyDescent="0.35">
      <c r="A15" s="126" t="s">
        <v>4</v>
      </c>
      <c r="B15" s="127"/>
      <c r="C15" s="127"/>
      <c r="D15" s="127"/>
      <c r="E15" s="128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 ht="14.5" x14ac:dyDescent="0.35">
      <c r="A16" s="126" t="s">
        <v>4</v>
      </c>
      <c r="B16" s="127"/>
      <c r="C16" s="127"/>
      <c r="D16" s="127"/>
      <c r="E16" s="128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 ht="14.5" x14ac:dyDescent="0.35">
      <c r="A17" s="129" t="s">
        <v>4</v>
      </c>
      <c r="B17" s="130"/>
      <c r="C17" s="130"/>
      <c r="D17" s="130"/>
      <c r="E17" s="131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 ht="14.5" x14ac:dyDescent="0.35">
      <c r="A18" s="132" t="s">
        <v>61</v>
      </c>
      <c r="B18" s="133"/>
      <c r="C18" s="133"/>
      <c r="D18" s="133"/>
      <c r="E18" s="134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 ht="14.5" x14ac:dyDescent="0.35">
      <c r="A20" s="123" t="s">
        <v>22</v>
      </c>
      <c r="B20" s="124"/>
      <c r="C20" s="124"/>
      <c r="D20" s="124"/>
      <c r="E20" s="125"/>
      <c r="F20" s="20" t="s">
        <v>58</v>
      </c>
      <c r="G20" s="20" t="s">
        <v>59</v>
      </c>
      <c r="H20" s="20" t="s">
        <v>60</v>
      </c>
      <c r="I20" s="20" t="s">
        <v>58</v>
      </c>
    </row>
    <row r="21" spans="1:9" ht="14.5" x14ac:dyDescent="0.35">
      <c r="A21" s="126" t="s">
        <v>25</v>
      </c>
      <c r="B21" s="127"/>
      <c r="C21" s="127"/>
      <c r="D21" s="127"/>
      <c r="E21" s="128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 ht="14.5" x14ac:dyDescent="0.35">
      <c r="A22" s="126" t="s">
        <v>27</v>
      </c>
      <c r="B22" s="127"/>
      <c r="C22" s="127"/>
      <c r="D22" s="127"/>
      <c r="E22" s="128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 ht="14.5" x14ac:dyDescent="0.35">
      <c r="A23" s="126" t="s">
        <v>29</v>
      </c>
      <c r="B23" s="127"/>
      <c r="C23" s="127"/>
      <c r="D23" s="127"/>
      <c r="E23" s="128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 ht="14.5" x14ac:dyDescent="0.35">
      <c r="A24" s="126" t="s">
        <v>30</v>
      </c>
      <c r="B24" s="127"/>
      <c r="C24" s="127"/>
      <c r="D24" s="127"/>
      <c r="E24" s="128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 ht="14.5" x14ac:dyDescent="0.35">
      <c r="A25" s="126" t="s">
        <v>32</v>
      </c>
      <c r="B25" s="127"/>
      <c r="C25" s="127"/>
      <c r="D25" s="127"/>
      <c r="E25" s="128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 ht="14.5" x14ac:dyDescent="0.35">
      <c r="A26" s="129" t="s">
        <v>33</v>
      </c>
      <c r="B26" s="130"/>
      <c r="C26" s="130"/>
      <c r="D26" s="130"/>
      <c r="E26" s="131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 ht="14.5" x14ac:dyDescent="0.35">
      <c r="A27" s="132" t="s">
        <v>62</v>
      </c>
      <c r="B27" s="133"/>
      <c r="C27" s="133"/>
      <c r="D27" s="133"/>
      <c r="E27" s="134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5" x14ac:dyDescent="0.35">
      <c r="A29" s="135" t="s">
        <v>63</v>
      </c>
      <c r="B29" s="136"/>
      <c r="C29" s="136"/>
      <c r="D29" s="136"/>
      <c r="E29" s="137"/>
      <c r="F29" s="138">
        <f>I18+I27</f>
        <v>0</v>
      </c>
      <c r="G29" s="139"/>
      <c r="H29" s="139"/>
      <c r="I29" s="140"/>
    </row>
    <row r="33" spans="1:9" ht="15.5" x14ac:dyDescent="0.35">
      <c r="A33" s="122" t="s">
        <v>64</v>
      </c>
      <c r="B33" s="122"/>
      <c r="C33" s="122"/>
      <c r="D33" s="122"/>
      <c r="E33" s="122"/>
    </row>
    <row r="34" spans="1:9" ht="14.5" x14ac:dyDescent="0.35">
      <c r="A34" s="123" t="s">
        <v>65</v>
      </c>
      <c r="B34" s="124"/>
      <c r="C34" s="124"/>
      <c r="D34" s="124"/>
      <c r="E34" s="125"/>
      <c r="F34" s="20" t="s">
        <v>58</v>
      </c>
      <c r="G34" s="20" t="s">
        <v>59</v>
      </c>
      <c r="H34" s="20" t="s">
        <v>60</v>
      </c>
      <c r="I34" s="20" t="s">
        <v>58</v>
      </c>
    </row>
    <row r="35" spans="1:9" ht="14.5" x14ac:dyDescent="0.35">
      <c r="A35" s="129" t="s">
        <v>4</v>
      </c>
      <c r="B35" s="130"/>
      <c r="C35" s="130"/>
      <c r="D35" s="130"/>
      <c r="E35" s="131"/>
      <c r="F35" s="23">
        <v>0</v>
      </c>
      <c r="G35" s="24" t="s">
        <v>4</v>
      </c>
      <c r="H35" s="24" t="s">
        <v>4</v>
      </c>
      <c r="I35" s="23">
        <f>F35</f>
        <v>0</v>
      </c>
    </row>
    <row r="36" spans="1:9" ht="14.5" x14ac:dyDescent="0.35">
      <c r="A36" s="132" t="s">
        <v>66</v>
      </c>
      <c r="B36" s="133"/>
      <c r="C36" s="133"/>
      <c r="D36" s="133"/>
      <c r="E36" s="134"/>
      <c r="F36" s="25" t="s">
        <v>4</v>
      </c>
      <c r="G36" s="26" t="s">
        <v>4</v>
      </c>
      <c r="H36" s="26" t="s">
        <v>4</v>
      </c>
      <c r="I36" s="27">
        <f>SUM(I35:I35)</f>
        <v>0</v>
      </c>
    </row>
  </sheetData>
  <sheetProtection password="CA5F" sheet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25"/>
  <sheetViews>
    <sheetView workbookViewId="0">
      <pane ySplit="11" topLeftCell="A12" activePane="bottomLeft" state="frozen"/>
      <selection pane="bottomLeft" activeCell="A125" sqref="A125:K125"/>
    </sheetView>
  </sheetViews>
  <sheetFormatPr defaultColWidth="12.1796875" defaultRowHeight="15" customHeight="1" x14ac:dyDescent="0.35"/>
  <cols>
    <col min="1" max="1" width="4" customWidth="1"/>
    <col min="2" max="2" width="17.81640625" customWidth="1"/>
    <col min="3" max="3" width="42.81640625" customWidth="1"/>
    <col min="4" max="4" width="35.7265625" customWidth="1"/>
    <col min="5" max="5" width="9.453125" customWidth="1"/>
    <col min="6" max="6" width="12.81640625" customWidth="1"/>
    <col min="7" max="7" width="12" customWidth="1"/>
    <col min="8" max="10" width="15.7265625" customWidth="1"/>
    <col min="11" max="11" width="17.81640625" customWidth="1"/>
    <col min="25" max="75" width="12.1796875" hidden="1"/>
    <col min="76" max="76" width="78.54296875" hidden="1" customWidth="1"/>
    <col min="77" max="78" width="12.1796875" hidden="1"/>
  </cols>
  <sheetData>
    <row r="1" spans="1:76" ht="54.75" customHeight="1" x14ac:dyDescent="0.35">
      <c r="A1" s="71" t="s">
        <v>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AS1" s="28">
        <f>SUM(AJ1:AJ2)</f>
        <v>0</v>
      </c>
      <c r="AT1" s="28">
        <f>SUM(AK1:AK2)</f>
        <v>0</v>
      </c>
      <c r="AU1" s="28">
        <f>SUM(AL1:AL2)</f>
        <v>0</v>
      </c>
    </row>
    <row r="2" spans="1:76" ht="14.5" x14ac:dyDescent="0.35">
      <c r="A2" s="72" t="s">
        <v>1</v>
      </c>
      <c r="B2" s="73"/>
      <c r="C2" s="81" t="s">
        <v>68</v>
      </c>
      <c r="D2" s="82"/>
      <c r="E2" s="73" t="s">
        <v>69</v>
      </c>
      <c r="F2" s="73"/>
      <c r="G2" s="143" t="s">
        <v>70</v>
      </c>
      <c r="H2" s="79" t="s">
        <v>2</v>
      </c>
      <c r="I2" s="73" t="s">
        <v>71</v>
      </c>
      <c r="J2" s="73"/>
      <c r="K2" s="84"/>
    </row>
    <row r="3" spans="1:76" ht="14.5" x14ac:dyDescent="0.35">
      <c r="A3" s="74"/>
      <c r="B3" s="75"/>
      <c r="C3" s="83"/>
      <c r="D3" s="83"/>
      <c r="E3" s="75"/>
      <c r="F3" s="75"/>
      <c r="G3" s="144"/>
      <c r="H3" s="75"/>
      <c r="I3" s="75"/>
      <c r="J3" s="75"/>
      <c r="K3" s="85"/>
    </row>
    <row r="4" spans="1:76" ht="14.5" x14ac:dyDescent="0.35">
      <c r="A4" s="76" t="s">
        <v>5</v>
      </c>
      <c r="B4" s="75"/>
      <c r="C4" s="80" t="s">
        <v>72</v>
      </c>
      <c r="D4" s="75"/>
      <c r="E4" s="75" t="s">
        <v>10</v>
      </c>
      <c r="F4" s="75"/>
      <c r="G4" s="144" t="s">
        <v>70</v>
      </c>
      <c r="H4" s="80" t="s">
        <v>6</v>
      </c>
      <c r="I4" s="80" t="s">
        <v>73</v>
      </c>
      <c r="J4" s="75"/>
      <c r="K4" s="85"/>
    </row>
    <row r="5" spans="1:76" ht="14.5" x14ac:dyDescent="0.35">
      <c r="A5" s="74"/>
      <c r="B5" s="75"/>
      <c r="C5" s="75"/>
      <c r="D5" s="75"/>
      <c r="E5" s="75"/>
      <c r="F5" s="75"/>
      <c r="G5" s="144"/>
      <c r="H5" s="75"/>
      <c r="I5" s="75"/>
      <c r="J5" s="75"/>
      <c r="K5" s="85"/>
    </row>
    <row r="6" spans="1:76" ht="14.5" x14ac:dyDescent="0.35">
      <c r="A6" s="76" t="s">
        <v>8</v>
      </c>
      <c r="B6" s="75"/>
      <c r="C6" s="80" t="s">
        <v>74</v>
      </c>
      <c r="D6" s="75"/>
      <c r="E6" s="75" t="s">
        <v>11</v>
      </c>
      <c r="F6" s="75"/>
      <c r="G6" s="144" t="s">
        <v>70</v>
      </c>
      <c r="H6" s="80" t="s">
        <v>9</v>
      </c>
      <c r="I6" s="144" t="s">
        <v>71</v>
      </c>
      <c r="J6" s="144"/>
      <c r="K6" s="146"/>
    </row>
    <row r="7" spans="1:76" ht="14.5" x14ac:dyDescent="0.35">
      <c r="A7" s="74"/>
      <c r="B7" s="75"/>
      <c r="C7" s="75"/>
      <c r="D7" s="75"/>
      <c r="E7" s="75"/>
      <c r="F7" s="75"/>
      <c r="G7" s="144"/>
      <c r="H7" s="75"/>
      <c r="I7" s="144"/>
      <c r="J7" s="144"/>
      <c r="K7" s="146"/>
    </row>
    <row r="8" spans="1:76" ht="14.5" x14ac:dyDescent="0.35">
      <c r="A8" s="76" t="s">
        <v>13</v>
      </c>
      <c r="B8" s="75"/>
      <c r="C8" s="80" t="s">
        <v>70</v>
      </c>
      <c r="D8" s="75"/>
      <c r="E8" s="75" t="s">
        <v>75</v>
      </c>
      <c r="F8" s="75"/>
      <c r="G8" s="144" t="s">
        <v>76</v>
      </c>
      <c r="H8" s="80" t="s">
        <v>14</v>
      </c>
      <c r="I8" s="147" t="s">
        <v>77</v>
      </c>
      <c r="J8" s="144"/>
      <c r="K8" s="146"/>
    </row>
    <row r="9" spans="1:76" ht="14.5" x14ac:dyDescent="0.35">
      <c r="A9" s="141"/>
      <c r="B9" s="142"/>
      <c r="C9" s="142"/>
      <c r="D9" s="142"/>
      <c r="E9" s="142"/>
      <c r="F9" s="142"/>
      <c r="G9" s="145"/>
      <c r="H9" s="142"/>
      <c r="I9" s="145"/>
      <c r="J9" s="145"/>
      <c r="K9" s="148"/>
    </row>
    <row r="10" spans="1:76" ht="14.5" x14ac:dyDescent="0.35">
      <c r="A10" s="29" t="s">
        <v>78</v>
      </c>
      <c r="B10" s="30" t="s">
        <v>79</v>
      </c>
      <c r="C10" s="149" t="s">
        <v>80</v>
      </c>
      <c r="D10" s="150"/>
      <c r="E10" s="30" t="s">
        <v>81</v>
      </c>
      <c r="F10" s="31" t="s">
        <v>82</v>
      </c>
      <c r="G10" s="32" t="s">
        <v>83</v>
      </c>
      <c r="H10" s="153" t="s">
        <v>84</v>
      </c>
      <c r="I10" s="154"/>
      <c r="J10" s="155"/>
      <c r="K10" s="33" t="s">
        <v>85</v>
      </c>
      <c r="BK10" s="34" t="s">
        <v>86</v>
      </c>
      <c r="BL10" s="35" t="s">
        <v>87</v>
      </c>
      <c r="BW10" s="35" t="s">
        <v>88</v>
      </c>
    </row>
    <row r="11" spans="1:76" ht="14.5" x14ac:dyDescent="0.35">
      <c r="A11" s="36" t="s">
        <v>70</v>
      </c>
      <c r="B11" s="37" t="s">
        <v>70</v>
      </c>
      <c r="C11" s="151" t="s">
        <v>89</v>
      </c>
      <c r="D11" s="152"/>
      <c r="E11" s="37" t="s">
        <v>70</v>
      </c>
      <c r="F11" s="37" t="s">
        <v>70</v>
      </c>
      <c r="G11" s="38" t="s">
        <v>90</v>
      </c>
      <c r="H11" s="39" t="s">
        <v>91</v>
      </c>
      <c r="I11" s="40" t="s">
        <v>26</v>
      </c>
      <c r="J11" s="41" t="s">
        <v>92</v>
      </c>
      <c r="K11" s="42" t="s">
        <v>93</v>
      </c>
      <c r="Z11" s="34" t="s">
        <v>94</v>
      </c>
      <c r="AA11" s="34" t="s">
        <v>95</v>
      </c>
      <c r="AB11" s="34" t="s">
        <v>96</v>
      </c>
      <c r="AC11" s="34" t="s">
        <v>97</v>
      </c>
      <c r="AD11" s="34" t="s">
        <v>98</v>
      </c>
      <c r="AE11" s="34" t="s">
        <v>99</v>
      </c>
      <c r="AF11" s="34" t="s">
        <v>100</v>
      </c>
      <c r="AG11" s="34" t="s">
        <v>101</v>
      </c>
      <c r="AH11" s="34" t="s">
        <v>102</v>
      </c>
      <c r="BH11" s="34" t="s">
        <v>103</v>
      </c>
      <c r="BI11" s="34" t="s">
        <v>104</v>
      </c>
      <c r="BJ11" s="34" t="s">
        <v>105</v>
      </c>
    </row>
    <row r="12" spans="1:76" ht="14.5" x14ac:dyDescent="0.35">
      <c r="A12" s="43" t="s">
        <v>4</v>
      </c>
      <c r="B12" s="44" t="s">
        <v>4</v>
      </c>
      <c r="C12" s="156" t="s">
        <v>106</v>
      </c>
      <c r="D12" s="157"/>
      <c r="E12" s="45" t="s">
        <v>70</v>
      </c>
      <c r="F12" s="45" t="s">
        <v>70</v>
      </c>
      <c r="G12" s="46" t="s">
        <v>70</v>
      </c>
      <c r="H12" s="47">
        <f>ROUND(SUM(H13,H23,H27,H30,H32,H35),2)</f>
        <v>0</v>
      </c>
      <c r="I12" s="47">
        <f>ROUND(SUM(I13,I23,I27,I30,I32,I35),2)</f>
        <v>0</v>
      </c>
      <c r="J12" s="47">
        <f>ROUND(SUM(J13,J23,J27,J30,J32,J35),2)</f>
        <v>0</v>
      </c>
      <c r="K12" s="48" t="s">
        <v>4</v>
      </c>
    </row>
    <row r="13" spans="1:76" ht="14.5" x14ac:dyDescent="0.35">
      <c r="A13" s="49" t="s">
        <v>4</v>
      </c>
      <c r="B13" s="50" t="s">
        <v>107</v>
      </c>
      <c r="C13" s="158" t="s">
        <v>108</v>
      </c>
      <c r="D13" s="159"/>
      <c r="E13" s="51" t="s">
        <v>70</v>
      </c>
      <c r="F13" s="51" t="s">
        <v>70</v>
      </c>
      <c r="G13" s="52" t="s">
        <v>70</v>
      </c>
      <c r="H13" s="28">
        <f>ROUND(SUM(H14:H22),2)</f>
        <v>0</v>
      </c>
      <c r="I13" s="28">
        <f>ROUND(SUM(I14:I22),2)</f>
        <v>0</v>
      </c>
      <c r="J13" s="28">
        <f>ROUND(SUM(J14:J22),2)</f>
        <v>0</v>
      </c>
      <c r="K13" s="53" t="s">
        <v>4</v>
      </c>
      <c r="AI13" s="34" t="s">
        <v>109</v>
      </c>
      <c r="AS13" s="28">
        <f>SUM(AJ14:AJ22)</f>
        <v>0</v>
      </c>
      <c r="AT13" s="28">
        <f>SUM(AK14:AK22)</f>
        <v>0</v>
      </c>
      <c r="AU13" s="28">
        <f>SUM(AL14:AL22)</f>
        <v>0</v>
      </c>
    </row>
    <row r="14" spans="1:76" ht="14.5" x14ac:dyDescent="0.35">
      <c r="A14" s="1" t="s">
        <v>110</v>
      </c>
      <c r="B14" s="2" t="s">
        <v>111</v>
      </c>
      <c r="C14" s="80" t="s">
        <v>112</v>
      </c>
      <c r="D14" s="75"/>
      <c r="E14" s="2" t="s">
        <v>113</v>
      </c>
      <c r="F14" s="54">
        <v>60</v>
      </c>
      <c r="G14" s="55">
        <v>0</v>
      </c>
      <c r="H14" s="54">
        <f t="shared" ref="H14:H22" si="0">ROUND(F14*AO14,2)</f>
        <v>0</v>
      </c>
      <c r="I14" s="54">
        <f t="shared" ref="I14:I22" si="1">ROUND(F14*AP14,2)</f>
        <v>0</v>
      </c>
      <c r="J14" s="54">
        <f t="shared" ref="J14:J22" si="2">ROUND(F14*G14,2)</f>
        <v>0</v>
      </c>
      <c r="K14" s="56" t="s">
        <v>4</v>
      </c>
      <c r="Z14" s="54">
        <f t="shared" ref="Z14:Z22" si="3">ROUND(IF(AQ14="5",BJ14,0),2)</f>
        <v>0</v>
      </c>
      <c r="AB14" s="54">
        <f t="shared" ref="AB14:AB22" si="4">ROUND(IF(AQ14="1",BH14,0),2)</f>
        <v>0</v>
      </c>
      <c r="AC14" s="54">
        <f t="shared" ref="AC14:AC22" si="5">ROUND(IF(AQ14="1",BI14,0),2)</f>
        <v>0</v>
      </c>
      <c r="AD14" s="54">
        <f t="shared" ref="AD14:AD22" si="6">ROUND(IF(AQ14="7",BH14,0),2)</f>
        <v>0</v>
      </c>
      <c r="AE14" s="54">
        <f t="shared" ref="AE14:AE22" si="7">ROUND(IF(AQ14="7",BI14,0),2)</f>
        <v>0</v>
      </c>
      <c r="AF14" s="54">
        <f t="shared" ref="AF14:AF22" si="8">ROUND(IF(AQ14="2",BH14,0),2)</f>
        <v>0</v>
      </c>
      <c r="AG14" s="54">
        <f t="shared" ref="AG14:AG22" si="9">ROUND(IF(AQ14="2",BI14,0),2)</f>
        <v>0</v>
      </c>
      <c r="AH14" s="54">
        <f t="shared" ref="AH14:AH22" si="10">ROUND(IF(AQ14="0",BJ14,0),2)</f>
        <v>0</v>
      </c>
      <c r="AI14" s="34" t="s">
        <v>109</v>
      </c>
      <c r="AJ14" s="54">
        <f t="shared" ref="AJ14:AJ22" si="11">IF(AN14=0,J14,0)</f>
        <v>0</v>
      </c>
      <c r="AK14" s="54">
        <f t="shared" ref="AK14:AK22" si="12">IF(AN14=12,J14,0)</f>
        <v>0</v>
      </c>
      <c r="AL14" s="54">
        <f t="shared" ref="AL14:AL22" si="13">IF(AN14=21,J14,0)</f>
        <v>0</v>
      </c>
      <c r="AN14" s="54">
        <v>21</v>
      </c>
      <c r="AO14" s="54">
        <f>G14*0</f>
        <v>0</v>
      </c>
      <c r="AP14" s="54">
        <f>G14*(1-0)</f>
        <v>0</v>
      </c>
      <c r="AQ14" s="57" t="s">
        <v>110</v>
      </c>
      <c r="AV14" s="54">
        <f t="shared" ref="AV14:AV22" si="14">ROUND(AW14+AX14,2)</f>
        <v>0</v>
      </c>
      <c r="AW14" s="54">
        <f t="shared" ref="AW14:AW22" si="15">ROUND(F14*AO14,2)</f>
        <v>0</v>
      </c>
      <c r="AX14" s="54">
        <f t="shared" ref="AX14:AX22" si="16">ROUND(F14*AP14,2)</f>
        <v>0</v>
      </c>
      <c r="AY14" s="57" t="s">
        <v>114</v>
      </c>
      <c r="AZ14" s="57" t="s">
        <v>115</v>
      </c>
      <c r="BA14" s="34" t="s">
        <v>116</v>
      </c>
      <c r="BC14" s="54">
        <f t="shared" ref="BC14:BC22" si="17">AW14+AX14</f>
        <v>0</v>
      </c>
      <c r="BD14" s="54">
        <f t="shared" ref="BD14:BD22" si="18">G14/(100-BE14)*100</f>
        <v>0</v>
      </c>
      <c r="BE14" s="54">
        <v>0</v>
      </c>
      <c r="BF14" s="54">
        <f>14</f>
        <v>14</v>
      </c>
      <c r="BH14" s="54">
        <f t="shared" ref="BH14:BH22" si="19">F14*AO14</f>
        <v>0</v>
      </c>
      <c r="BI14" s="54">
        <f t="shared" ref="BI14:BI22" si="20">F14*AP14</f>
        <v>0</v>
      </c>
      <c r="BJ14" s="54">
        <f t="shared" ref="BJ14:BJ22" si="21">F14*G14</f>
        <v>0</v>
      </c>
      <c r="BK14" s="57" t="s">
        <v>117</v>
      </c>
      <c r="BL14" s="54">
        <v>11</v>
      </c>
      <c r="BW14" s="54">
        <v>21</v>
      </c>
      <c r="BX14" s="3" t="s">
        <v>112</v>
      </c>
    </row>
    <row r="15" spans="1:76" ht="25" x14ac:dyDescent="0.35">
      <c r="A15" s="1" t="s">
        <v>118</v>
      </c>
      <c r="B15" s="2" t="s">
        <v>119</v>
      </c>
      <c r="C15" s="80" t="s">
        <v>120</v>
      </c>
      <c r="D15" s="75"/>
      <c r="E15" s="2" t="s">
        <v>113</v>
      </c>
      <c r="F15" s="54">
        <v>120</v>
      </c>
      <c r="G15" s="55">
        <v>0</v>
      </c>
      <c r="H15" s="54">
        <f t="shared" si="0"/>
        <v>0</v>
      </c>
      <c r="I15" s="54">
        <f t="shared" si="1"/>
        <v>0</v>
      </c>
      <c r="J15" s="54">
        <f t="shared" si="2"/>
        <v>0</v>
      </c>
      <c r="K15" s="56" t="s">
        <v>121</v>
      </c>
      <c r="Z15" s="54">
        <f t="shared" si="3"/>
        <v>0</v>
      </c>
      <c r="AB15" s="54">
        <f t="shared" si="4"/>
        <v>0</v>
      </c>
      <c r="AC15" s="54">
        <f t="shared" si="5"/>
        <v>0</v>
      </c>
      <c r="AD15" s="54">
        <f t="shared" si="6"/>
        <v>0</v>
      </c>
      <c r="AE15" s="54">
        <f t="shared" si="7"/>
        <v>0</v>
      </c>
      <c r="AF15" s="54">
        <f t="shared" si="8"/>
        <v>0</v>
      </c>
      <c r="AG15" s="54">
        <f t="shared" si="9"/>
        <v>0</v>
      </c>
      <c r="AH15" s="54">
        <f t="shared" si="10"/>
        <v>0</v>
      </c>
      <c r="AI15" s="34" t="s">
        <v>109</v>
      </c>
      <c r="AJ15" s="54">
        <f t="shared" si="11"/>
        <v>0</v>
      </c>
      <c r="AK15" s="54">
        <f t="shared" si="12"/>
        <v>0</v>
      </c>
      <c r="AL15" s="54">
        <f t="shared" si="13"/>
        <v>0</v>
      </c>
      <c r="AN15" s="54">
        <v>21</v>
      </c>
      <c r="AO15" s="54">
        <f>G15*0</f>
        <v>0</v>
      </c>
      <c r="AP15" s="54">
        <f>G15*(1-0)</f>
        <v>0</v>
      </c>
      <c r="AQ15" s="57" t="s">
        <v>110</v>
      </c>
      <c r="AV15" s="54">
        <f t="shared" si="14"/>
        <v>0</v>
      </c>
      <c r="AW15" s="54">
        <f t="shared" si="15"/>
        <v>0</v>
      </c>
      <c r="AX15" s="54">
        <f t="shared" si="16"/>
        <v>0</v>
      </c>
      <c r="AY15" s="57" t="s">
        <v>114</v>
      </c>
      <c r="AZ15" s="57" t="s">
        <v>115</v>
      </c>
      <c r="BA15" s="34" t="s">
        <v>116</v>
      </c>
      <c r="BC15" s="54">
        <f t="shared" si="17"/>
        <v>0</v>
      </c>
      <c r="BD15" s="54">
        <f t="shared" si="18"/>
        <v>0</v>
      </c>
      <c r="BE15" s="54">
        <v>0</v>
      </c>
      <c r="BF15" s="54">
        <f>15</f>
        <v>15</v>
      </c>
      <c r="BH15" s="54">
        <f t="shared" si="19"/>
        <v>0</v>
      </c>
      <c r="BI15" s="54">
        <f t="shared" si="20"/>
        <v>0</v>
      </c>
      <c r="BJ15" s="54">
        <f t="shared" si="21"/>
        <v>0</v>
      </c>
      <c r="BK15" s="57" t="s">
        <v>117</v>
      </c>
      <c r="BL15" s="54">
        <v>11</v>
      </c>
      <c r="BW15" s="54">
        <v>21</v>
      </c>
      <c r="BX15" s="3" t="s">
        <v>120</v>
      </c>
    </row>
    <row r="16" spans="1:76" ht="25" x14ac:dyDescent="0.35">
      <c r="A16" s="1" t="s">
        <v>122</v>
      </c>
      <c r="B16" s="2" t="s">
        <v>119</v>
      </c>
      <c r="C16" s="80" t="s">
        <v>123</v>
      </c>
      <c r="D16" s="75"/>
      <c r="E16" s="2" t="s">
        <v>113</v>
      </c>
      <c r="F16" s="54">
        <v>60</v>
      </c>
      <c r="G16" s="55">
        <v>0</v>
      </c>
      <c r="H16" s="54">
        <f t="shared" si="0"/>
        <v>0</v>
      </c>
      <c r="I16" s="54">
        <f t="shared" si="1"/>
        <v>0</v>
      </c>
      <c r="J16" s="54">
        <f t="shared" si="2"/>
        <v>0</v>
      </c>
      <c r="K16" s="56" t="s">
        <v>121</v>
      </c>
      <c r="Z16" s="54">
        <f t="shared" si="3"/>
        <v>0</v>
      </c>
      <c r="AB16" s="54">
        <f t="shared" si="4"/>
        <v>0</v>
      </c>
      <c r="AC16" s="54">
        <f t="shared" si="5"/>
        <v>0</v>
      </c>
      <c r="AD16" s="54">
        <f t="shared" si="6"/>
        <v>0</v>
      </c>
      <c r="AE16" s="54">
        <f t="shared" si="7"/>
        <v>0</v>
      </c>
      <c r="AF16" s="54">
        <f t="shared" si="8"/>
        <v>0</v>
      </c>
      <c r="AG16" s="54">
        <f t="shared" si="9"/>
        <v>0</v>
      </c>
      <c r="AH16" s="54">
        <f t="shared" si="10"/>
        <v>0</v>
      </c>
      <c r="AI16" s="34" t="s">
        <v>109</v>
      </c>
      <c r="AJ16" s="54">
        <f t="shared" si="11"/>
        <v>0</v>
      </c>
      <c r="AK16" s="54">
        <f t="shared" si="12"/>
        <v>0</v>
      </c>
      <c r="AL16" s="54">
        <f t="shared" si="13"/>
        <v>0</v>
      </c>
      <c r="AN16" s="54">
        <v>21</v>
      </c>
      <c r="AO16" s="54">
        <f>G16*0</f>
        <v>0</v>
      </c>
      <c r="AP16" s="54">
        <f>G16*(1-0)</f>
        <v>0</v>
      </c>
      <c r="AQ16" s="57" t="s">
        <v>110</v>
      </c>
      <c r="AV16" s="54">
        <f t="shared" si="14"/>
        <v>0</v>
      </c>
      <c r="AW16" s="54">
        <f t="shared" si="15"/>
        <v>0</v>
      </c>
      <c r="AX16" s="54">
        <f t="shared" si="16"/>
        <v>0</v>
      </c>
      <c r="AY16" s="57" t="s">
        <v>114</v>
      </c>
      <c r="AZ16" s="57" t="s">
        <v>115</v>
      </c>
      <c r="BA16" s="34" t="s">
        <v>116</v>
      </c>
      <c r="BC16" s="54">
        <f t="shared" si="17"/>
        <v>0</v>
      </c>
      <c r="BD16" s="54">
        <f t="shared" si="18"/>
        <v>0</v>
      </c>
      <c r="BE16" s="54">
        <v>0</v>
      </c>
      <c r="BF16" s="54">
        <f>16</f>
        <v>16</v>
      </c>
      <c r="BH16" s="54">
        <f t="shared" si="19"/>
        <v>0</v>
      </c>
      <c r="BI16" s="54">
        <f t="shared" si="20"/>
        <v>0</v>
      </c>
      <c r="BJ16" s="54">
        <f t="shared" si="21"/>
        <v>0</v>
      </c>
      <c r="BK16" s="57" t="s">
        <v>117</v>
      </c>
      <c r="BL16" s="54">
        <v>11</v>
      </c>
      <c r="BW16" s="54">
        <v>21</v>
      </c>
      <c r="BX16" s="3" t="s">
        <v>123</v>
      </c>
    </row>
    <row r="17" spans="1:76" ht="14.5" x14ac:dyDescent="0.35">
      <c r="A17" s="1" t="s">
        <v>124</v>
      </c>
      <c r="B17" s="2" t="s">
        <v>125</v>
      </c>
      <c r="C17" s="80" t="s">
        <v>126</v>
      </c>
      <c r="D17" s="75"/>
      <c r="E17" s="2" t="s">
        <v>127</v>
      </c>
      <c r="F17" s="54">
        <v>1</v>
      </c>
      <c r="G17" s="55">
        <v>0</v>
      </c>
      <c r="H17" s="54">
        <f t="shared" si="0"/>
        <v>0</v>
      </c>
      <c r="I17" s="54">
        <f t="shared" si="1"/>
        <v>0</v>
      </c>
      <c r="J17" s="54">
        <f t="shared" si="2"/>
        <v>0</v>
      </c>
      <c r="K17" s="56" t="s">
        <v>121</v>
      </c>
      <c r="Z17" s="54">
        <f t="shared" si="3"/>
        <v>0</v>
      </c>
      <c r="AB17" s="54">
        <f t="shared" si="4"/>
        <v>0</v>
      </c>
      <c r="AC17" s="54">
        <f t="shared" si="5"/>
        <v>0</v>
      </c>
      <c r="AD17" s="54">
        <f t="shared" si="6"/>
        <v>0</v>
      </c>
      <c r="AE17" s="54">
        <f t="shared" si="7"/>
        <v>0</v>
      </c>
      <c r="AF17" s="54">
        <f t="shared" si="8"/>
        <v>0</v>
      </c>
      <c r="AG17" s="54">
        <f t="shared" si="9"/>
        <v>0</v>
      </c>
      <c r="AH17" s="54">
        <f t="shared" si="10"/>
        <v>0</v>
      </c>
      <c r="AI17" s="34" t="s">
        <v>109</v>
      </c>
      <c r="AJ17" s="54">
        <f t="shared" si="11"/>
        <v>0</v>
      </c>
      <c r="AK17" s="54">
        <f t="shared" si="12"/>
        <v>0</v>
      </c>
      <c r="AL17" s="54">
        <f t="shared" si="13"/>
        <v>0</v>
      </c>
      <c r="AN17" s="54">
        <v>21</v>
      </c>
      <c r="AO17" s="54">
        <f>G17*0.006426316</f>
        <v>0</v>
      </c>
      <c r="AP17" s="54">
        <f>G17*(1-0.006426316)</f>
        <v>0</v>
      </c>
      <c r="AQ17" s="57" t="s">
        <v>110</v>
      </c>
      <c r="AV17" s="54">
        <f t="shared" si="14"/>
        <v>0</v>
      </c>
      <c r="AW17" s="54">
        <f t="shared" si="15"/>
        <v>0</v>
      </c>
      <c r="AX17" s="54">
        <f t="shared" si="16"/>
        <v>0</v>
      </c>
      <c r="AY17" s="57" t="s">
        <v>114</v>
      </c>
      <c r="AZ17" s="57" t="s">
        <v>115</v>
      </c>
      <c r="BA17" s="34" t="s">
        <v>116</v>
      </c>
      <c r="BC17" s="54">
        <f t="shared" si="17"/>
        <v>0</v>
      </c>
      <c r="BD17" s="54">
        <f t="shared" si="18"/>
        <v>0</v>
      </c>
      <c r="BE17" s="54">
        <v>0</v>
      </c>
      <c r="BF17" s="54">
        <f>17</f>
        <v>17</v>
      </c>
      <c r="BH17" s="54">
        <f t="shared" si="19"/>
        <v>0</v>
      </c>
      <c r="BI17" s="54">
        <f t="shared" si="20"/>
        <v>0</v>
      </c>
      <c r="BJ17" s="54">
        <f t="shared" si="21"/>
        <v>0</v>
      </c>
      <c r="BK17" s="57" t="s">
        <v>117</v>
      </c>
      <c r="BL17" s="54">
        <v>11</v>
      </c>
      <c r="BW17" s="54">
        <v>21</v>
      </c>
      <c r="BX17" s="3" t="s">
        <v>126</v>
      </c>
    </row>
    <row r="18" spans="1:76" ht="14.5" x14ac:dyDescent="0.35">
      <c r="A18" s="1" t="s">
        <v>128</v>
      </c>
      <c r="B18" s="2" t="s">
        <v>129</v>
      </c>
      <c r="C18" s="80" t="s">
        <v>130</v>
      </c>
      <c r="D18" s="75"/>
      <c r="E18" s="2" t="s">
        <v>127</v>
      </c>
      <c r="F18" s="54">
        <v>1</v>
      </c>
      <c r="G18" s="55">
        <v>0</v>
      </c>
      <c r="H18" s="54">
        <f t="shared" si="0"/>
        <v>0</v>
      </c>
      <c r="I18" s="54">
        <f t="shared" si="1"/>
        <v>0</v>
      </c>
      <c r="J18" s="54">
        <f t="shared" si="2"/>
        <v>0</v>
      </c>
      <c r="K18" s="56" t="s">
        <v>121</v>
      </c>
      <c r="Z18" s="54">
        <f t="shared" si="3"/>
        <v>0</v>
      </c>
      <c r="AB18" s="54">
        <f t="shared" si="4"/>
        <v>0</v>
      </c>
      <c r="AC18" s="54">
        <f t="shared" si="5"/>
        <v>0</v>
      </c>
      <c r="AD18" s="54">
        <f t="shared" si="6"/>
        <v>0</v>
      </c>
      <c r="AE18" s="54">
        <f t="shared" si="7"/>
        <v>0</v>
      </c>
      <c r="AF18" s="54">
        <f t="shared" si="8"/>
        <v>0</v>
      </c>
      <c r="AG18" s="54">
        <f t="shared" si="9"/>
        <v>0</v>
      </c>
      <c r="AH18" s="54">
        <f t="shared" si="10"/>
        <v>0</v>
      </c>
      <c r="AI18" s="34" t="s">
        <v>109</v>
      </c>
      <c r="AJ18" s="54">
        <f t="shared" si="11"/>
        <v>0</v>
      </c>
      <c r="AK18" s="54">
        <f t="shared" si="12"/>
        <v>0</v>
      </c>
      <c r="AL18" s="54">
        <f t="shared" si="13"/>
        <v>0</v>
      </c>
      <c r="AN18" s="54">
        <v>21</v>
      </c>
      <c r="AO18" s="54">
        <f>G18*0</f>
        <v>0</v>
      </c>
      <c r="AP18" s="54">
        <f>G18*(1-0)</f>
        <v>0</v>
      </c>
      <c r="AQ18" s="57" t="s">
        <v>110</v>
      </c>
      <c r="AV18" s="54">
        <f t="shared" si="14"/>
        <v>0</v>
      </c>
      <c r="AW18" s="54">
        <f t="shared" si="15"/>
        <v>0</v>
      </c>
      <c r="AX18" s="54">
        <f t="shared" si="16"/>
        <v>0</v>
      </c>
      <c r="AY18" s="57" t="s">
        <v>114</v>
      </c>
      <c r="AZ18" s="57" t="s">
        <v>115</v>
      </c>
      <c r="BA18" s="34" t="s">
        <v>116</v>
      </c>
      <c r="BC18" s="54">
        <f t="shared" si="17"/>
        <v>0</v>
      </c>
      <c r="BD18" s="54">
        <f t="shared" si="18"/>
        <v>0</v>
      </c>
      <c r="BE18" s="54">
        <v>0</v>
      </c>
      <c r="BF18" s="54">
        <f>18</f>
        <v>18</v>
      </c>
      <c r="BH18" s="54">
        <f t="shared" si="19"/>
        <v>0</v>
      </c>
      <c r="BI18" s="54">
        <f t="shared" si="20"/>
        <v>0</v>
      </c>
      <c r="BJ18" s="54">
        <f t="shared" si="21"/>
        <v>0</v>
      </c>
      <c r="BK18" s="57" t="s">
        <v>117</v>
      </c>
      <c r="BL18" s="54">
        <v>11</v>
      </c>
      <c r="BW18" s="54">
        <v>21</v>
      </c>
      <c r="BX18" s="3" t="s">
        <v>130</v>
      </c>
    </row>
    <row r="19" spans="1:76" ht="14.5" x14ac:dyDescent="0.35">
      <c r="A19" s="1" t="s">
        <v>131</v>
      </c>
      <c r="B19" s="2" t="s">
        <v>132</v>
      </c>
      <c r="C19" s="80" t="s">
        <v>133</v>
      </c>
      <c r="D19" s="75"/>
      <c r="E19" s="2" t="s">
        <v>134</v>
      </c>
      <c r="F19" s="54">
        <v>1</v>
      </c>
      <c r="G19" s="55">
        <v>0</v>
      </c>
      <c r="H19" s="54">
        <f t="shared" si="0"/>
        <v>0</v>
      </c>
      <c r="I19" s="54">
        <f t="shared" si="1"/>
        <v>0</v>
      </c>
      <c r="J19" s="54">
        <f t="shared" si="2"/>
        <v>0</v>
      </c>
      <c r="K19" s="56" t="s">
        <v>121</v>
      </c>
      <c r="Z19" s="54">
        <f t="shared" si="3"/>
        <v>0</v>
      </c>
      <c r="AB19" s="54">
        <f t="shared" si="4"/>
        <v>0</v>
      </c>
      <c r="AC19" s="54">
        <f t="shared" si="5"/>
        <v>0</v>
      </c>
      <c r="AD19" s="54">
        <f t="shared" si="6"/>
        <v>0</v>
      </c>
      <c r="AE19" s="54">
        <f t="shared" si="7"/>
        <v>0</v>
      </c>
      <c r="AF19" s="54">
        <f t="shared" si="8"/>
        <v>0</v>
      </c>
      <c r="AG19" s="54">
        <f t="shared" si="9"/>
        <v>0</v>
      </c>
      <c r="AH19" s="54">
        <f t="shared" si="10"/>
        <v>0</v>
      </c>
      <c r="AI19" s="34" t="s">
        <v>109</v>
      </c>
      <c r="AJ19" s="54">
        <f t="shared" si="11"/>
        <v>0</v>
      </c>
      <c r="AK19" s="54">
        <f t="shared" si="12"/>
        <v>0</v>
      </c>
      <c r="AL19" s="54">
        <f t="shared" si="13"/>
        <v>0</v>
      </c>
      <c r="AN19" s="54">
        <v>21</v>
      </c>
      <c r="AO19" s="54">
        <f>G19*0</f>
        <v>0</v>
      </c>
      <c r="AP19" s="54">
        <f>G19*(1-0)</f>
        <v>0</v>
      </c>
      <c r="AQ19" s="57" t="s">
        <v>110</v>
      </c>
      <c r="AV19" s="54">
        <f t="shared" si="14"/>
        <v>0</v>
      </c>
      <c r="AW19" s="54">
        <f t="shared" si="15"/>
        <v>0</v>
      </c>
      <c r="AX19" s="54">
        <f t="shared" si="16"/>
        <v>0</v>
      </c>
      <c r="AY19" s="57" t="s">
        <v>114</v>
      </c>
      <c r="AZ19" s="57" t="s">
        <v>115</v>
      </c>
      <c r="BA19" s="34" t="s">
        <v>116</v>
      </c>
      <c r="BC19" s="54">
        <f t="shared" si="17"/>
        <v>0</v>
      </c>
      <c r="BD19" s="54">
        <f t="shared" si="18"/>
        <v>0</v>
      </c>
      <c r="BE19" s="54">
        <v>0</v>
      </c>
      <c r="BF19" s="54">
        <f>19</f>
        <v>19</v>
      </c>
      <c r="BH19" s="54">
        <f t="shared" si="19"/>
        <v>0</v>
      </c>
      <c r="BI19" s="54">
        <f t="shared" si="20"/>
        <v>0</v>
      </c>
      <c r="BJ19" s="54">
        <f t="shared" si="21"/>
        <v>0</v>
      </c>
      <c r="BK19" s="57" t="s">
        <v>117</v>
      </c>
      <c r="BL19" s="54">
        <v>11</v>
      </c>
      <c r="BW19" s="54">
        <v>21</v>
      </c>
      <c r="BX19" s="3" t="s">
        <v>133</v>
      </c>
    </row>
    <row r="20" spans="1:76" ht="14.5" x14ac:dyDescent="0.35">
      <c r="A20" s="1" t="s">
        <v>135</v>
      </c>
      <c r="B20" s="2" t="s">
        <v>136</v>
      </c>
      <c r="C20" s="80" t="s">
        <v>137</v>
      </c>
      <c r="D20" s="75"/>
      <c r="E20" s="2" t="s">
        <v>134</v>
      </c>
      <c r="F20" s="54">
        <v>2</v>
      </c>
      <c r="G20" s="55">
        <v>0</v>
      </c>
      <c r="H20" s="54">
        <f t="shared" si="0"/>
        <v>0</v>
      </c>
      <c r="I20" s="54">
        <f t="shared" si="1"/>
        <v>0</v>
      </c>
      <c r="J20" s="54">
        <f t="shared" si="2"/>
        <v>0</v>
      </c>
      <c r="K20" s="56" t="s">
        <v>121</v>
      </c>
      <c r="Z20" s="54">
        <f t="shared" si="3"/>
        <v>0</v>
      </c>
      <c r="AB20" s="54">
        <f t="shared" si="4"/>
        <v>0</v>
      </c>
      <c r="AC20" s="54">
        <f t="shared" si="5"/>
        <v>0</v>
      </c>
      <c r="AD20" s="54">
        <f t="shared" si="6"/>
        <v>0</v>
      </c>
      <c r="AE20" s="54">
        <f t="shared" si="7"/>
        <v>0</v>
      </c>
      <c r="AF20" s="54">
        <f t="shared" si="8"/>
        <v>0</v>
      </c>
      <c r="AG20" s="54">
        <f t="shared" si="9"/>
        <v>0</v>
      </c>
      <c r="AH20" s="54">
        <f t="shared" si="10"/>
        <v>0</v>
      </c>
      <c r="AI20" s="34" t="s">
        <v>109</v>
      </c>
      <c r="AJ20" s="54">
        <f t="shared" si="11"/>
        <v>0</v>
      </c>
      <c r="AK20" s="54">
        <f t="shared" si="12"/>
        <v>0</v>
      </c>
      <c r="AL20" s="54">
        <f t="shared" si="13"/>
        <v>0</v>
      </c>
      <c r="AN20" s="54">
        <v>21</v>
      </c>
      <c r="AO20" s="54">
        <f>G20*0</f>
        <v>0</v>
      </c>
      <c r="AP20" s="54">
        <f>G20*(1-0)</f>
        <v>0</v>
      </c>
      <c r="AQ20" s="57" t="s">
        <v>110</v>
      </c>
      <c r="AV20" s="54">
        <f t="shared" si="14"/>
        <v>0</v>
      </c>
      <c r="AW20" s="54">
        <f t="shared" si="15"/>
        <v>0</v>
      </c>
      <c r="AX20" s="54">
        <f t="shared" si="16"/>
        <v>0</v>
      </c>
      <c r="AY20" s="57" t="s">
        <v>114</v>
      </c>
      <c r="AZ20" s="57" t="s">
        <v>115</v>
      </c>
      <c r="BA20" s="34" t="s">
        <v>116</v>
      </c>
      <c r="BC20" s="54">
        <f t="shared" si="17"/>
        <v>0</v>
      </c>
      <c r="BD20" s="54">
        <f t="shared" si="18"/>
        <v>0</v>
      </c>
      <c r="BE20" s="54">
        <v>0</v>
      </c>
      <c r="BF20" s="54">
        <f>20</f>
        <v>20</v>
      </c>
      <c r="BH20" s="54">
        <f t="shared" si="19"/>
        <v>0</v>
      </c>
      <c r="BI20" s="54">
        <f t="shared" si="20"/>
        <v>0</v>
      </c>
      <c r="BJ20" s="54">
        <f t="shared" si="21"/>
        <v>0</v>
      </c>
      <c r="BK20" s="57" t="s">
        <v>117</v>
      </c>
      <c r="BL20" s="54">
        <v>11</v>
      </c>
      <c r="BW20" s="54">
        <v>21</v>
      </c>
      <c r="BX20" s="3" t="s">
        <v>137</v>
      </c>
    </row>
    <row r="21" spans="1:76" ht="14.5" x14ac:dyDescent="0.35">
      <c r="A21" s="1" t="s">
        <v>138</v>
      </c>
      <c r="B21" s="2" t="s">
        <v>139</v>
      </c>
      <c r="C21" s="80" t="s">
        <v>140</v>
      </c>
      <c r="D21" s="75"/>
      <c r="E21" s="2" t="s">
        <v>134</v>
      </c>
      <c r="F21" s="54">
        <v>1</v>
      </c>
      <c r="G21" s="55">
        <v>0</v>
      </c>
      <c r="H21" s="54">
        <f t="shared" si="0"/>
        <v>0</v>
      </c>
      <c r="I21" s="54">
        <f t="shared" si="1"/>
        <v>0</v>
      </c>
      <c r="J21" s="54">
        <f t="shared" si="2"/>
        <v>0</v>
      </c>
      <c r="K21" s="56" t="s">
        <v>121</v>
      </c>
      <c r="Z21" s="54">
        <f t="shared" si="3"/>
        <v>0</v>
      </c>
      <c r="AB21" s="54">
        <f t="shared" si="4"/>
        <v>0</v>
      </c>
      <c r="AC21" s="54">
        <f t="shared" si="5"/>
        <v>0</v>
      </c>
      <c r="AD21" s="54">
        <f t="shared" si="6"/>
        <v>0</v>
      </c>
      <c r="AE21" s="54">
        <f t="shared" si="7"/>
        <v>0</v>
      </c>
      <c r="AF21" s="54">
        <f t="shared" si="8"/>
        <v>0</v>
      </c>
      <c r="AG21" s="54">
        <f t="shared" si="9"/>
        <v>0</v>
      </c>
      <c r="AH21" s="54">
        <f t="shared" si="10"/>
        <v>0</v>
      </c>
      <c r="AI21" s="34" t="s">
        <v>109</v>
      </c>
      <c r="AJ21" s="54">
        <f t="shared" si="11"/>
        <v>0</v>
      </c>
      <c r="AK21" s="54">
        <f t="shared" si="12"/>
        <v>0</v>
      </c>
      <c r="AL21" s="54">
        <f t="shared" si="13"/>
        <v>0</v>
      </c>
      <c r="AN21" s="54">
        <v>21</v>
      </c>
      <c r="AO21" s="54">
        <f>G21*0</f>
        <v>0</v>
      </c>
      <c r="AP21" s="54">
        <f>G21*(1-0)</f>
        <v>0</v>
      </c>
      <c r="AQ21" s="57" t="s">
        <v>110</v>
      </c>
      <c r="AV21" s="54">
        <f t="shared" si="14"/>
        <v>0</v>
      </c>
      <c r="AW21" s="54">
        <f t="shared" si="15"/>
        <v>0</v>
      </c>
      <c r="AX21" s="54">
        <f t="shared" si="16"/>
        <v>0</v>
      </c>
      <c r="AY21" s="57" t="s">
        <v>114</v>
      </c>
      <c r="AZ21" s="57" t="s">
        <v>115</v>
      </c>
      <c r="BA21" s="34" t="s">
        <v>116</v>
      </c>
      <c r="BC21" s="54">
        <f t="shared" si="17"/>
        <v>0</v>
      </c>
      <c r="BD21" s="54">
        <f t="shared" si="18"/>
        <v>0</v>
      </c>
      <c r="BE21" s="54">
        <v>0</v>
      </c>
      <c r="BF21" s="54">
        <f>21</f>
        <v>21</v>
      </c>
      <c r="BH21" s="54">
        <f t="shared" si="19"/>
        <v>0</v>
      </c>
      <c r="BI21" s="54">
        <f t="shared" si="20"/>
        <v>0</v>
      </c>
      <c r="BJ21" s="54">
        <f t="shared" si="21"/>
        <v>0</v>
      </c>
      <c r="BK21" s="57" t="s">
        <v>117</v>
      </c>
      <c r="BL21" s="54">
        <v>11</v>
      </c>
      <c r="BW21" s="54">
        <v>21</v>
      </c>
      <c r="BX21" s="3" t="s">
        <v>140</v>
      </c>
    </row>
    <row r="22" spans="1:76" ht="14.5" x14ac:dyDescent="0.35">
      <c r="A22" s="1" t="s">
        <v>141</v>
      </c>
      <c r="B22" s="2" t="s">
        <v>142</v>
      </c>
      <c r="C22" s="80" t="s">
        <v>143</v>
      </c>
      <c r="D22" s="75"/>
      <c r="E22" s="2" t="s">
        <v>134</v>
      </c>
      <c r="F22" s="54">
        <v>1</v>
      </c>
      <c r="G22" s="55">
        <v>0</v>
      </c>
      <c r="H22" s="54">
        <f t="shared" si="0"/>
        <v>0</v>
      </c>
      <c r="I22" s="54">
        <f t="shared" si="1"/>
        <v>0</v>
      </c>
      <c r="J22" s="54">
        <f t="shared" si="2"/>
        <v>0</v>
      </c>
      <c r="K22" s="56" t="s">
        <v>121</v>
      </c>
      <c r="Z22" s="54">
        <f t="shared" si="3"/>
        <v>0</v>
      </c>
      <c r="AB22" s="54">
        <f t="shared" si="4"/>
        <v>0</v>
      </c>
      <c r="AC22" s="54">
        <f t="shared" si="5"/>
        <v>0</v>
      </c>
      <c r="AD22" s="54">
        <f t="shared" si="6"/>
        <v>0</v>
      </c>
      <c r="AE22" s="54">
        <f t="shared" si="7"/>
        <v>0</v>
      </c>
      <c r="AF22" s="54">
        <f t="shared" si="8"/>
        <v>0</v>
      </c>
      <c r="AG22" s="54">
        <f t="shared" si="9"/>
        <v>0</v>
      </c>
      <c r="AH22" s="54">
        <f t="shared" si="10"/>
        <v>0</v>
      </c>
      <c r="AI22" s="34" t="s">
        <v>109</v>
      </c>
      <c r="AJ22" s="54">
        <f t="shared" si="11"/>
        <v>0</v>
      </c>
      <c r="AK22" s="54">
        <f t="shared" si="12"/>
        <v>0</v>
      </c>
      <c r="AL22" s="54">
        <f t="shared" si="13"/>
        <v>0</v>
      </c>
      <c r="AN22" s="54">
        <v>21</v>
      </c>
      <c r="AO22" s="54">
        <f>G22*0</f>
        <v>0</v>
      </c>
      <c r="AP22" s="54">
        <f>G22*(1-0)</f>
        <v>0</v>
      </c>
      <c r="AQ22" s="57" t="s">
        <v>110</v>
      </c>
      <c r="AV22" s="54">
        <f t="shared" si="14"/>
        <v>0</v>
      </c>
      <c r="AW22" s="54">
        <f t="shared" si="15"/>
        <v>0</v>
      </c>
      <c r="AX22" s="54">
        <f t="shared" si="16"/>
        <v>0</v>
      </c>
      <c r="AY22" s="57" t="s">
        <v>114</v>
      </c>
      <c r="AZ22" s="57" t="s">
        <v>115</v>
      </c>
      <c r="BA22" s="34" t="s">
        <v>116</v>
      </c>
      <c r="BC22" s="54">
        <f t="shared" si="17"/>
        <v>0</v>
      </c>
      <c r="BD22" s="54">
        <f t="shared" si="18"/>
        <v>0</v>
      </c>
      <c r="BE22" s="54">
        <v>0</v>
      </c>
      <c r="BF22" s="54">
        <f>22</f>
        <v>22</v>
      </c>
      <c r="BH22" s="54">
        <f t="shared" si="19"/>
        <v>0</v>
      </c>
      <c r="BI22" s="54">
        <f t="shared" si="20"/>
        <v>0</v>
      </c>
      <c r="BJ22" s="54">
        <f t="shared" si="21"/>
        <v>0</v>
      </c>
      <c r="BK22" s="57" t="s">
        <v>117</v>
      </c>
      <c r="BL22" s="54">
        <v>11</v>
      </c>
      <c r="BW22" s="54">
        <v>21</v>
      </c>
      <c r="BX22" s="3" t="s">
        <v>143</v>
      </c>
    </row>
    <row r="23" spans="1:76" ht="14.5" x14ac:dyDescent="0.35">
      <c r="A23" s="49" t="s">
        <v>4</v>
      </c>
      <c r="B23" s="50" t="s">
        <v>144</v>
      </c>
      <c r="C23" s="158" t="s">
        <v>145</v>
      </c>
      <c r="D23" s="159"/>
      <c r="E23" s="51" t="s">
        <v>70</v>
      </c>
      <c r="F23" s="51" t="s">
        <v>70</v>
      </c>
      <c r="G23" s="52" t="s">
        <v>70</v>
      </c>
      <c r="H23" s="28">
        <f>ROUND(SUM(H24:H26),2)</f>
        <v>0</v>
      </c>
      <c r="I23" s="28">
        <f>ROUND(SUM(I24:I26),2)</f>
        <v>0</v>
      </c>
      <c r="J23" s="28">
        <f>ROUND(SUM(J24:J26),2)</f>
        <v>0</v>
      </c>
      <c r="K23" s="53" t="s">
        <v>4</v>
      </c>
      <c r="AI23" s="34" t="s">
        <v>109</v>
      </c>
      <c r="AS23" s="28">
        <f>SUM(AJ24:AJ26)</f>
        <v>0</v>
      </c>
      <c r="AT23" s="28">
        <f>SUM(AK24:AK26)</f>
        <v>0</v>
      </c>
      <c r="AU23" s="28">
        <f>SUM(AL24:AL26)</f>
        <v>0</v>
      </c>
    </row>
    <row r="24" spans="1:76" ht="14.5" x14ac:dyDescent="0.35">
      <c r="A24" s="1" t="s">
        <v>146</v>
      </c>
      <c r="B24" s="2" t="s">
        <v>147</v>
      </c>
      <c r="C24" s="80" t="s">
        <v>148</v>
      </c>
      <c r="D24" s="75"/>
      <c r="E24" s="2" t="s">
        <v>113</v>
      </c>
      <c r="F24" s="54">
        <v>1.2</v>
      </c>
      <c r="G24" s="55">
        <v>0</v>
      </c>
      <c r="H24" s="54">
        <f>ROUND(F24*AO24,2)</f>
        <v>0</v>
      </c>
      <c r="I24" s="54">
        <f>ROUND(F24*AP24,2)</f>
        <v>0</v>
      </c>
      <c r="J24" s="54">
        <f>ROUND(F24*G24,2)</f>
        <v>0</v>
      </c>
      <c r="K24" s="56" t="s">
        <v>4</v>
      </c>
      <c r="Z24" s="54">
        <f>ROUND(IF(AQ24="5",BJ24,0),2)</f>
        <v>0</v>
      </c>
      <c r="AB24" s="54">
        <f>ROUND(IF(AQ24="1",BH24,0),2)</f>
        <v>0</v>
      </c>
      <c r="AC24" s="54">
        <f>ROUND(IF(AQ24="1",BI24,0),2)</f>
        <v>0</v>
      </c>
      <c r="AD24" s="54">
        <f>ROUND(IF(AQ24="7",BH24,0),2)</f>
        <v>0</v>
      </c>
      <c r="AE24" s="54">
        <f>ROUND(IF(AQ24="7",BI24,0),2)</f>
        <v>0</v>
      </c>
      <c r="AF24" s="54">
        <f>ROUND(IF(AQ24="2",BH24,0),2)</f>
        <v>0</v>
      </c>
      <c r="AG24" s="54">
        <f>ROUND(IF(AQ24="2",BI24,0),2)</f>
        <v>0</v>
      </c>
      <c r="AH24" s="54">
        <f>ROUND(IF(AQ24="0",BJ24,0),2)</f>
        <v>0</v>
      </c>
      <c r="AI24" s="34" t="s">
        <v>109</v>
      </c>
      <c r="AJ24" s="54">
        <f>IF(AN24=0,J24,0)</f>
        <v>0</v>
      </c>
      <c r="AK24" s="54">
        <f>IF(AN24=12,J24,0)</f>
        <v>0</v>
      </c>
      <c r="AL24" s="54">
        <f>IF(AN24=21,J24,0)</f>
        <v>0</v>
      </c>
      <c r="AN24" s="54">
        <v>21</v>
      </c>
      <c r="AO24" s="54">
        <f>G24*0</f>
        <v>0</v>
      </c>
      <c r="AP24" s="54">
        <f>G24*(1-0)</f>
        <v>0</v>
      </c>
      <c r="AQ24" s="57" t="s">
        <v>110</v>
      </c>
      <c r="AV24" s="54">
        <f>ROUND(AW24+AX24,2)</f>
        <v>0</v>
      </c>
      <c r="AW24" s="54">
        <f>ROUND(F24*AO24,2)</f>
        <v>0</v>
      </c>
      <c r="AX24" s="54">
        <f>ROUND(F24*AP24,2)</f>
        <v>0</v>
      </c>
      <c r="AY24" s="57" t="s">
        <v>149</v>
      </c>
      <c r="AZ24" s="57" t="s">
        <v>150</v>
      </c>
      <c r="BA24" s="34" t="s">
        <v>116</v>
      </c>
      <c r="BC24" s="54">
        <f>AW24+AX24</f>
        <v>0</v>
      </c>
      <c r="BD24" s="54">
        <f>G24/(100-BE24)*100</f>
        <v>0</v>
      </c>
      <c r="BE24" s="54">
        <v>0</v>
      </c>
      <c r="BF24" s="54">
        <f>24</f>
        <v>24</v>
      </c>
      <c r="BH24" s="54">
        <f>F24*AO24</f>
        <v>0</v>
      </c>
      <c r="BI24" s="54">
        <f>F24*AP24</f>
        <v>0</v>
      </c>
      <c r="BJ24" s="54">
        <f>F24*G24</f>
        <v>0</v>
      </c>
      <c r="BK24" s="57" t="s">
        <v>117</v>
      </c>
      <c r="BL24" s="54"/>
      <c r="BW24" s="54">
        <v>21</v>
      </c>
      <c r="BX24" s="3" t="s">
        <v>148</v>
      </c>
    </row>
    <row r="25" spans="1:76" ht="13.5" customHeight="1" x14ac:dyDescent="0.35">
      <c r="A25" s="58"/>
      <c r="B25" s="59" t="s">
        <v>54</v>
      </c>
      <c r="C25" s="160" t="s">
        <v>151</v>
      </c>
      <c r="D25" s="161"/>
      <c r="E25" s="161"/>
      <c r="F25" s="161"/>
      <c r="G25" s="162"/>
      <c r="H25" s="161"/>
      <c r="I25" s="161"/>
      <c r="J25" s="161"/>
      <c r="K25" s="163"/>
    </row>
    <row r="26" spans="1:76" ht="14.5" x14ac:dyDescent="0.35">
      <c r="A26" s="1" t="s">
        <v>107</v>
      </c>
      <c r="B26" s="2" t="s">
        <v>152</v>
      </c>
      <c r="C26" s="80" t="s">
        <v>153</v>
      </c>
      <c r="D26" s="75"/>
      <c r="E26" s="2" t="s">
        <v>113</v>
      </c>
      <c r="F26" s="54">
        <v>205</v>
      </c>
      <c r="G26" s="55">
        <v>0</v>
      </c>
      <c r="H26" s="54">
        <f>ROUND(F26*AO26,2)</f>
        <v>0</v>
      </c>
      <c r="I26" s="54">
        <f>ROUND(F26*AP26,2)</f>
        <v>0</v>
      </c>
      <c r="J26" s="54">
        <f>ROUND(F26*G26,2)</f>
        <v>0</v>
      </c>
      <c r="K26" s="56" t="s">
        <v>121</v>
      </c>
      <c r="Z26" s="54">
        <f>ROUND(IF(AQ26="5",BJ26,0),2)</f>
        <v>0</v>
      </c>
      <c r="AB26" s="54">
        <f>ROUND(IF(AQ26="1",BH26,0),2)</f>
        <v>0</v>
      </c>
      <c r="AC26" s="54">
        <f>ROUND(IF(AQ26="1",BI26,0),2)</f>
        <v>0</v>
      </c>
      <c r="AD26" s="54">
        <f>ROUND(IF(AQ26="7",BH26,0),2)</f>
        <v>0</v>
      </c>
      <c r="AE26" s="54">
        <f>ROUND(IF(AQ26="7",BI26,0),2)</f>
        <v>0</v>
      </c>
      <c r="AF26" s="54">
        <f>ROUND(IF(AQ26="2",BH26,0),2)</f>
        <v>0</v>
      </c>
      <c r="AG26" s="54">
        <f>ROUND(IF(AQ26="2",BI26,0),2)</f>
        <v>0</v>
      </c>
      <c r="AH26" s="54">
        <f>ROUND(IF(AQ26="0",BJ26,0),2)</f>
        <v>0</v>
      </c>
      <c r="AI26" s="34" t="s">
        <v>109</v>
      </c>
      <c r="AJ26" s="54">
        <f>IF(AN26=0,J26,0)</f>
        <v>0</v>
      </c>
      <c r="AK26" s="54">
        <f>IF(AN26=12,J26,0)</f>
        <v>0</v>
      </c>
      <c r="AL26" s="54">
        <f>IF(AN26=21,J26,0)</f>
        <v>0</v>
      </c>
      <c r="AN26" s="54">
        <v>21</v>
      </c>
      <c r="AO26" s="54">
        <f>G26*0</f>
        <v>0</v>
      </c>
      <c r="AP26" s="54">
        <f>G26*(1-0)</f>
        <v>0</v>
      </c>
      <c r="AQ26" s="57" t="s">
        <v>110</v>
      </c>
      <c r="AV26" s="54">
        <f>ROUND(AW26+AX26,2)</f>
        <v>0</v>
      </c>
      <c r="AW26" s="54">
        <f>ROUND(F26*AO26,2)</f>
        <v>0</v>
      </c>
      <c r="AX26" s="54">
        <f>ROUND(F26*AP26,2)</f>
        <v>0</v>
      </c>
      <c r="AY26" s="57" t="s">
        <v>149</v>
      </c>
      <c r="AZ26" s="57" t="s">
        <v>150</v>
      </c>
      <c r="BA26" s="34" t="s">
        <v>116</v>
      </c>
      <c r="BC26" s="54">
        <f>AW26+AX26</f>
        <v>0</v>
      </c>
      <c r="BD26" s="54">
        <f>G26/(100-BE26)*100</f>
        <v>0</v>
      </c>
      <c r="BE26" s="54">
        <v>0</v>
      </c>
      <c r="BF26" s="54">
        <f>26</f>
        <v>26</v>
      </c>
      <c r="BH26" s="54">
        <f>F26*AO26</f>
        <v>0</v>
      </c>
      <c r="BI26" s="54">
        <f>F26*AP26</f>
        <v>0</v>
      </c>
      <c r="BJ26" s="54">
        <f>F26*G26</f>
        <v>0</v>
      </c>
      <c r="BK26" s="57" t="s">
        <v>117</v>
      </c>
      <c r="BL26" s="54"/>
      <c r="BW26" s="54">
        <v>21</v>
      </c>
      <c r="BX26" s="3" t="s">
        <v>153</v>
      </c>
    </row>
    <row r="27" spans="1:76" ht="14.5" x14ac:dyDescent="0.35">
      <c r="A27" s="49" t="s">
        <v>4</v>
      </c>
      <c r="B27" s="50" t="s">
        <v>154</v>
      </c>
      <c r="C27" s="158" t="s">
        <v>155</v>
      </c>
      <c r="D27" s="159"/>
      <c r="E27" s="51" t="s">
        <v>70</v>
      </c>
      <c r="F27" s="51" t="s">
        <v>70</v>
      </c>
      <c r="G27" s="52" t="s">
        <v>70</v>
      </c>
      <c r="H27" s="28">
        <f>ROUND(SUM(H28:H28),2)</f>
        <v>0</v>
      </c>
      <c r="I27" s="28">
        <f>ROUND(SUM(I28:I28),2)</f>
        <v>0</v>
      </c>
      <c r="J27" s="28">
        <f>ROUND(SUM(J28:J28),2)</f>
        <v>0</v>
      </c>
      <c r="K27" s="53" t="s">
        <v>4</v>
      </c>
      <c r="AI27" s="34" t="s">
        <v>109</v>
      </c>
      <c r="AS27" s="28">
        <f>SUM(AJ28:AJ28)</f>
        <v>0</v>
      </c>
      <c r="AT27" s="28">
        <f>SUM(AK28:AK28)</f>
        <v>0</v>
      </c>
      <c r="AU27" s="28">
        <f>SUM(AL28:AL28)</f>
        <v>0</v>
      </c>
    </row>
    <row r="28" spans="1:76" ht="14.5" x14ac:dyDescent="0.35">
      <c r="A28" s="1" t="s">
        <v>156</v>
      </c>
      <c r="B28" s="2" t="s">
        <v>157</v>
      </c>
      <c r="C28" s="80" t="s">
        <v>158</v>
      </c>
      <c r="D28" s="75"/>
      <c r="E28" s="2" t="s">
        <v>113</v>
      </c>
      <c r="F28" s="54">
        <v>3.5</v>
      </c>
      <c r="G28" s="55">
        <v>0</v>
      </c>
      <c r="H28" s="54">
        <f>ROUND(F28*AO28,2)</f>
        <v>0</v>
      </c>
      <c r="I28" s="54">
        <f>ROUND(F28*AP28,2)</f>
        <v>0</v>
      </c>
      <c r="J28" s="54">
        <f>ROUND(F28*G28,2)</f>
        <v>0</v>
      </c>
      <c r="K28" s="56" t="s">
        <v>4</v>
      </c>
      <c r="Z28" s="54">
        <f>ROUND(IF(AQ28="5",BJ28,0),2)</f>
        <v>0</v>
      </c>
      <c r="AB28" s="54">
        <f>ROUND(IF(AQ28="1",BH28,0),2)</f>
        <v>0</v>
      </c>
      <c r="AC28" s="54">
        <f>ROUND(IF(AQ28="1",BI28,0),2)</f>
        <v>0</v>
      </c>
      <c r="AD28" s="54">
        <f>ROUND(IF(AQ28="7",BH28,0),2)</f>
        <v>0</v>
      </c>
      <c r="AE28" s="54">
        <f>ROUND(IF(AQ28="7",BI28,0),2)</f>
        <v>0</v>
      </c>
      <c r="AF28" s="54">
        <f>ROUND(IF(AQ28="2",BH28,0),2)</f>
        <v>0</v>
      </c>
      <c r="AG28" s="54">
        <f>ROUND(IF(AQ28="2",BI28,0),2)</f>
        <v>0</v>
      </c>
      <c r="AH28" s="54">
        <f>ROUND(IF(AQ28="0",BJ28,0),2)</f>
        <v>0</v>
      </c>
      <c r="AI28" s="34" t="s">
        <v>109</v>
      </c>
      <c r="AJ28" s="54">
        <f>IF(AN28=0,J28,0)</f>
        <v>0</v>
      </c>
      <c r="AK28" s="54">
        <f>IF(AN28=12,J28,0)</f>
        <v>0</v>
      </c>
      <c r="AL28" s="54">
        <f>IF(AN28=21,J28,0)</f>
        <v>0</v>
      </c>
      <c r="AN28" s="54">
        <v>21</v>
      </c>
      <c r="AO28" s="54">
        <f>G28*0</f>
        <v>0</v>
      </c>
      <c r="AP28" s="54">
        <f>G28*(1-0)</f>
        <v>0</v>
      </c>
      <c r="AQ28" s="57" t="s">
        <v>110</v>
      </c>
      <c r="AV28" s="54">
        <f>ROUND(AW28+AX28,2)</f>
        <v>0</v>
      </c>
      <c r="AW28" s="54">
        <f>ROUND(F28*AO28,2)</f>
        <v>0</v>
      </c>
      <c r="AX28" s="54">
        <f>ROUND(F28*AP28,2)</f>
        <v>0</v>
      </c>
      <c r="AY28" s="57" t="s">
        <v>159</v>
      </c>
      <c r="AZ28" s="57" t="s">
        <v>160</v>
      </c>
      <c r="BA28" s="34" t="s">
        <v>116</v>
      </c>
      <c r="BC28" s="54">
        <f>AW28+AX28</f>
        <v>0</v>
      </c>
      <c r="BD28" s="54">
        <f>G28/(100-BE28)*100</f>
        <v>0</v>
      </c>
      <c r="BE28" s="54">
        <v>0</v>
      </c>
      <c r="BF28" s="54">
        <f>28</f>
        <v>28</v>
      </c>
      <c r="BH28" s="54">
        <f>F28*AO28</f>
        <v>0</v>
      </c>
      <c r="BI28" s="54">
        <f>F28*AP28</f>
        <v>0</v>
      </c>
      <c r="BJ28" s="54">
        <f>F28*G28</f>
        <v>0</v>
      </c>
      <c r="BK28" s="57" t="s">
        <v>117</v>
      </c>
      <c r="BL28" s="54"/>
      <c r="BW28" s="54">
        <v>21</v>
      </c>
      <c r="BX28" s="3" t="s">
        <v>158</v>
      </c>
    </row>
    <row r="29" spans="1:76" ht="13.5" customHeight="1" x14ac:dyDescent="0.35">
      <c r="A29" s="58"/>
      <c r="B29" s="59" t="s">
        <v>54</v>
      </c>
      <c r="C29" s="160" t="s">
        <v>151</v>
      </c>
      <c r="D29" s="161"/>
      <c r="E29" s="161"/>
      <c r="F29" s="161"/>
      <c r="G29" s="162"/>
      <c r="H29" s="161"/>
      <c r="I29" s="161"/>
      <c r="J29" s="161"/>
      <c r="K29" s="163"/>
    </row>
    <row r="30" spans="1:76" ht="14.5" x14ac:dyDescent="0.35">
      <c r="A30" s="49" t="s">
        <v>4</v>
      </c>
      <c r="B30" s="50" t="s">
        <v>161</v>
      </c>
      <c r="C30" s="158" t="s">
        <v>162</v>
      </c>
      <c r="D30" s="159"/>
      <c r="E30" s="51" t="s">
        <v>70</v>
      </c>
      <c r="F30" s="51" t="s">
        <v>70</v>
      </c>
      <c r="G30" s="52" t="s">
        <v>70</v>
      </c>
      <c r="H30" s="28">
        <f>ROUND(SUM(H31:H31),2)</f>
        <v>0</v>
      </c>
      <c r="I30" s="28">
        <f>ROUND(SUM(I31:I31),2)</f>
        <v>0</v>
      </c>
      <c r="J30" s="28">
        <f>ROUND(SUM(J31:J31),2)</f>
        <v>0</v>
      </c>
      <c r="K30" s="53" t="s">
        <v>4</v>
      </c>
      <c r="AI30" s="34" t="s">
        <v>109</v>
      </c>
      <c r="AS30" s="28">
        <f>SUM(AJ31:AJ31)</f>
        <v>0</v>
      </c>
      <c r="AT30" s="28">
        <f>SUM(AK31:AK31)</f>
        <v>0</v>
      </c>
      <c r="AU30" s="28">
        <f>SUM(AL31:AL31)</f>
        <v>0</v>
      </c>
    </row>
    <row r="31" spans="1:76" ht="14.5" x14ac:dyDescent="0.35">
      <c r="A31" s="1" t="s">
        <v>163</v>
      </c>
      <c r="B31" s="2" t="s">
        <v>164</v>
      </c>
      <c r="C31" s="80" t="s">
        <v>165</v>
      </c>
      <c r="D31" s="75"/>
      <c r="E31" s="2" t="s">
        <v>166</v>
      </c>
      <c r="F31" s="54">
        <v>2.5</v>
      </c>
      <c r="G31" s="55">
        <v>0</v>
      </c>
      <c r="H31" s="54">
        <f>ROUND(F31*AO31,2)</f>
        <v>0</v>
      </c>
      <c r="I31" s="54">
        <f>ROUND(F31*AP31,2)</f>
        <v>0</v>
      </c>
      <c r="J31" s="54">
        <f>ROUND(F31*G31,2)</f>
        <v>0</v>
      </c>
      <c r="K31" s="56" t="s">
        <v>121</v>
      </c>
      <c r="Z31" s="54">
        <f>ROUND(IF(AQ31="5",BJ31,0),2)</f>
        <v>0</v>
      </c>
      <c r="AB31" s="54">
        <f>ROUND(IF(AQ31="1",BH31,0),2)</f>
        <v>0</v>
      </c>
      <c r="AC31" s="54">
        <f>ROUND(IF(AQ31="1",BI31,0),2)</f>
        <v>0</v>
      </c>
      <c r="AD31" s="54">
        <f>ROUND(IF(AQ31="7",BH31,0),2)</f>
        <v>0</v>
      </c>
      <c r="AE31" s="54">
        <f>ROUND(IF(AQ31="7",BI31,0),2)</f>
        <v>0</v>
      </c>
      <c r="AF31" s="54">
        <f>ROUND(IF(AQ31="2",BH31,0),2)</f>
        <v>0</v>
      </c>
      <c r="AG31" s="54">
        <f>ROUND(IF(AQ31="2",BI31,0),2)</f>
        <v>0</v>
      </c>
      <c r="AH31" s="54">
        <f>ROUND(IF(AQ31="0",BJ31,0),2)</f>
        <v>0</v>
      </c>
      <c r="AI31" s="34" t="s">
        <v>109</v>
      </c>
      <c r="AJ31" s="54">
        <f>IF(AN31=0,J31,0)</f>
        <v>0</v>
      </c>
      <c r="AK31" s="54">
        <f>IF(AN31=12,J31,0)</f>
        <v>0</v>
      </c>
      <c r="AL31" s="54">
        <f>IF(AN31=21,J31,0)</f>
        <v>0</v>
      </c>
      <c r="AN31" s="54">
        <v>21</v>
      </c>
      <c r="AO31" s="54">
        <f>G31*0</f>
        <v>0</v>
      </c>
      <c r="AP31" s="54">
        <f>G31*(1-0)</f>
        <v>0</v>
      </c>
      <c r="AQ31" s="57" t="s">
        <v>128</v>
      </c>
      <c r="AV31" s="54">
        <f>ROUND(AW31+AX31,2)</f>
        <v>0</v>
      </c>
      <c r="AW31" s="54">
        <f>ROUND(F31*AO31,2)</f>
        <v>0</v>
      </c>
      <c r="AX31" s="54">
        <f>ROUND(F31*AP31,2)</f>
        <v>0</v>
      </c>
      <c r="AY31" s="57" t="s">
        <v>167</v>
      </c>
      <c r="AZ31" s="57" t="s">
        <v>168</v>
      </c>
      <c r="BA31" s="34" t="s">
        <v>116</v>
      </c>
      <c r="BC31" s="54">
        <f>AW31+AX31</f>
        <v>0</v>
      </c>
      <c r="BD31" s="54">
        <f>G31/(100-BE31)*100</f>
        <v>0</v>
      </c>
      <c r="BE31" s="54">
        <v>0</v>
      </c>
      <c r="BF31" s="54">
        <f>31</f>
        <v>31</v>
      </c>
      <c r="BH31" s="54">
        <f>F31*AO31</f>
        <v>0</v>
      </c>
      <c r="BI31" s="54">
        <f>F31*AP31</f>
        <v>0</v>
      </c>
      <c r="BJ31" s="54">
        <f>F31*G31</f>
        <v>0</v>
      </c>
      <c r="BK31" s="57" t="s">
        <v>117</v>
      </c>
      <c r="BL31" s="54"/>
      <c r="BW31" s="54">
        <v>21</v>
      </c>
      <c r="BX31" s="3" t="s">
        <v>165</v>
      </c>
    </row>
    <row r="32" spans="1:76" ht="14.5" x14ac:dyDescent="0.35">
      <c r="A32" s="49" t="s">
        <v>4</v>
      </c>
      <c r="B32" s="50" t="s">
        <v>169</v>
      </c>
      <c r="C32" s="158" t="s">
        <v>170</v>
      </c>
      <c r="D32" s="159"/>
      <c r="E32" s="51" t="s">
        <v>70</v>
      </c>
      <c r="F32" s="51" t="s">
        <v>70</v>
      </c>
      <c r="G32" s="52" t="s">
        <v>70</v>
      </c>
      <c r="H32" s="28">
        <f>ROUND(SUM(H33:H34),2)</f>
        <v>0</v>
      </c>
      <c r="I32" s="28">
        <f>ROUND(SUM(I33:I34),2)</f>
        <v>0</v>
      </c>
      <c r="J32" s="28">
        <f>ROUND(SUM(J33:J34),2)</f>
        <v>0</v>
      </c>
      <c r="K32" s="53" t="s">
        <v>4</v>
      </c>
      <c r="AI32" s="34" t="s">
        <v>109</v>
      </c>
      <c r="AS32" s="28">
        <f>SUM(AJ33:AJ34)</f>
        <v>0</v>
      </c>
      <c r="AT32" s="28">
        <f>SUM(AK33:AK34)</f>
        <v>0</v>
      </c>
      <c r="AU32" s="28">
        <f>SUM(AL33:AL34)</f>
        <v>0</v>
      </c>
    </row>
    <row r="33" spans="1:76" ht="14.5" x14ac:dyDescent="0.35">
      <c r="A33" s="1" t="s">
        <v>171</v>
      </c>
      <c r="B33" s="2" t="s">
        <v>172</v>
      </c>
      <c r="C33" s="80" t="s">
        <v>173</v>
      </c>
      <c r="D33" s="75"/>
      <c r="E33" s="2" t="s">
        <v>174</v>
      </c>
      <c r="F33" s="54">
        <v>18.8</v>
      </c>
      <c r="G33" s="55">
        <v>0</v>
      </c>
      <c r="H33" s="54">
        <f>ROUND(F33*AO33,2)</f>
        <v>0</v>
      </c>
      <c r="I33" s="54">
        <f>ROUND(F33*AP33,2)</f>
        <v>0</v>
      </c>
      <c r="J33" s="54">
        <f>ROUND(F33*G33,2)</f>
        <v>0</v>
      </c>
      <c r="K33" s="56" t="s">
        <v>121</v>
      </c>
      <c r="Z33" s="54">
        <f>ROUND(IF(AQ33="5",BJ33,0),2)</f>
        <v>0</v>
      </c>
      <c r="AB33" s="54">
        <f>ROUND(IF(AQ33="1",BH33,0),2)</f>
        <v>0</v>
      </c>
      <c r="AC33" s="54">
        <f>ROUND(IF(AQ33="1",BI33,0),2)</f>
        <v>0</v>
      </c>
      <c r="AD33" s="54">
        <f>ROUND(IF(AQ33="7",BH33,0),2)</f>
        <v>0</v>
      </c>
      <c r="AE33" s="54">
        <f>ROUND(IF(AQ33="7",BI33,0),2)</f>
        <v>0</v>
      </c>
      <c r="AF33" s="54">
        <f>ROUND(IF(AQ33="2",BH33,0),2)</f>
        <v>0</v>
      </c>
      <c r="AG33" s="54">
        <f>ROUND(IF(AQ33="2",BI33,0),2)</f>
        <v>0</v>
      </c>
      <c r="AH33" s="54">
        <f>ROUND(IF(AQ33="0",BJ33,0),2)</f>
        <v>0</v>
      </c>
      <c r="AI33" s="34" t="s">
        <v>109</v>
      </c>
      <c r="AJ33" s="54">
        <f>IF(AN33=0,J33,0)</f>
        <v>0</v>
      </c>
      <c r="AK33" s="54">
        <f>IF(AN33=12,J33,0)</f>
        <v>0</v>
      </c>
      <c r="AL33" s="54">
        <f>IF(AN33=21,J33,0)</f>
        <v>0</v>
      </c>
      <c r="AN33" s="54">
        <v>21</v>
      </c>
      <c r="AO33" s="54">
        <f>G33*0</f>
        <v>0</v>
      </c>
      <c r="AP33" s="54">
        <f>G33*(1-0)</f>
        <v>0</v>
      </c>
      <c r="AQ33" s="57" t="s">
        <v>128</v>
      </c>
      <c r="AV33" s="54">
        <f>ROUND(AW33+AX33,2)</f>
        <v>0</v>
      </c>
      <c r="AW33" s="54">
        <f>ROUND(F33*AO33,2)</f>
        <v>0</v>
      </c>
      <c r="AX33" s="54">
        <f>ROUND(F33*AP33,2)</f>
        <v>0</v>
      </c>
      <c r="AY33" s="57" t="s">
        <v>175</v>
      </c>
      <c r="AZ33" s="57" t="s">
        <v>176</v>
      </c>
      <c r="BA33" s="34" t="s">
        <v>116</v>
      </c>
      <c r="BC33" s="54">
        <f>AW33+AX33</f>
        <v>0</v>
      </c>
      <c r="BD33" s="54">
        <f>G33/(100-BE33)*100</f>
        <v>0</v>
      </c>
      <c r="BE33" s="54">
        <v>0</v>
      </c>
      <c r="BF33" s="54">
        <f>33</f>
        <v>33</v>
      </c>
      <c r="BH33" s="54">
        <f>F33*AO33</f>
        <v>0</v>
      </c>
      <c r="BI33" s="54">
        <f>F33*AP33</f>
        <v>0</v>
      </c>
      <c r="BJ33" s="54">
        <f>F33*G33</f>
        <v>0</v>
      </c>
      <c r="BK33" s="57" t="s">
        <v>117</v>
      </c>
      <c r="BL33" s="54"/>
      <c r="BW33" s="54">
        <v>21</v>
      </c>
      <c r="BX33" s="3" t="s">
        <v>173</v>
      </c>
    </row>
    <row r="34" spans="1:76" ht="14.5" x14ac:dyDescent="0.35">
      <c r="A34" s="1" t="s">
        <v>177</v>
      </c>
      <c r="B34" s="2" t="s">
        <v>178</v>
      </c>
      <c r="C34" s="80" t="s">
        <v>179</v>
      </c>
      <c r="D34" s="75"/>
      <c r="E34" s="2" t="s">
        <v>166</v>
      </c>
      <c r="F34" s="54">
        <v>20.2</v>
      </c>
      <c r="G34" s="55">
        <v>0</v>
      </c>
      <c r="H34" s="54">
        <f>ROUND(F34*AO34,2)</f>
        <v>0</v>
      </c>
      <c r="I34" s="54">
        <f>ROUND(F34*AP34,2)</f>
        <v>0</v>
      </c>
      <c r="J34" s="54">
        <f>ROUND(F34*G34,2)</f>
        <v>0</v>
      </c>
      <c r="K34" s="56" t="s">
        <v>121</v>
      </c>
      <c r="Z34" s="54">
        <f>ROUND(IF(AQ34="5",BJ34,0),2)</f>
        <v>0</v>
      </c>
      <c r="AB34" s="54">
        <f>ROUND(IF(AQ34="1",BH34,0),2)</f>
        <v>0</v>
      </c>
      <c r="AC34" s="54">
        <f>ROUND(IF(AQ34="1",BI34,0),2)</f>
        <v>0</v>
      </c>
      <c r="AD34" s="54">
        <f>ROUND(IF(AQ34="7",BH34,0),2)</f>
        <v>0</v>
      </c>
      <c r="AE34" s="54">
        <f>ROUND(IF(AQ34="7",BI34,0),2)</f>
        <v>0</v>
      </c>
      <c r="AF34" s="54">
        <f>ROUND(IF(AQ34="2",BH34,0),2)</f>
        <v>0</v>
      </c>
      <c r="AG34" s="54">
        <f>ROUND(IF(AQ34="2",BI34,0),2)</f>
        <v>0</v>
      </c>
      <c r="AH34" s="54">
        <f>ROUND(IF(AQ34="0",BJ34,0),2)</f>
        <v>0</v>
      </c>
      <c r="AI34" s="34" t="s">
        <v>109</v>
      </c>
      <c r="AJ34" s="54">
        <f>IF(AN34=0,J34,0)</f>
        <v>0</v>
      </c>
      <c r="AK34" s="54">
        <f>IF(AN34=12,J34,0)</f>
        <v>0</v>
      </c>
      <c r="AL34" s="54">
        <f>IF(AN34=21,J34,0)</f>
        <v>0</v>
      </c>
      <c r="AN34" s="54">
        <v>21</v>
      </c>
      <c r="AO34" s="54">
        <f>G34*0</f>
        <v>0</v>
      </c>
      <c r="AP34" s="54">
        <f>G34*(1-0)</f>
        <v>0</v>
      </c>
      <c r="AQ34" s="57" t="s">
        <v>128</v>
      </c>
      <c r="AV34" s="54">
        <f>ROUND(AW34+AX34,2)</f>
        <v>0</v>
      </c>
      <c r="AW34" s="54">
        <f>ROUND(F34*AO34,2)</f>
        <v>0</v>
      </c>
      <c r="AX34" s="54">
        <f>ROUND(F34*AP34,2)</f>
        <v>0</v>
      </c>
      <c r="AY34" s="57" t="s">
        <v>175</v>
      </c>
      <c r="AZ34" s="57" t="s">
        <v>176</v>
      </c>
      <c r="BA34" s="34" t="s">
        <v>116</v>
      </c>
      <c r="BC34" s="54">
        <f>AW34+AX34</f>
        <v>0</v>
      </c>
      <c r="BD34" s="54">
        <f>G34/(100-BE34)*100</f>
        <v>0</v>
      </c>
      <c r="BE34" s="54">
        <v>0</v>
      </c>
      <c r="BF34" s="54">
        <f>34</f>
        <v>34</v>
      </c>
      <c r="BH34" s="54">
        <f>F34*AO34</f>
        <v>0</v>
      </c>
      <c r="BI34" s="54">
        <f>F34*AP34</f>
        <v>0</v>
      </c>
      <c r="BJ34" s="54">
        <f>F34*G34</f>
        <v>0</v>
      </c>
      <c r="BK34" s="57" t="s">
        <v>117</v>
      </c>
      <c r="BL34" s="54"/>
      <c r="BW34" s="54">
        <v>21</v>
      </c>
      <c r="BX34" s="3" t="s">
        <v>179</v>
      </c>
    </row>
    <row r="35" spans="1:76" ht="14.5" x14ac:dyDescent="0.35">
      <c r="A35" s="49" t="s">
        <v>4</v>
      </c>
      <c r="B35" s="50" t="s">
        <v>180</v>
      </c>
      <c r="C35" s="158" t="s">
        <v>34</v>
      </c>
      <c r="D35" s="159"/>
      <c r="E35" s="51" t="s">
        <v>70</v>
      </c>
      <c r="F35" s="51" t="s">
        <v>70</v>
      </c>
      <c r="G35" s="52" t="s">
        <v>70</v>
      </c>
      <c r="H35" s="28">
        <f>ROUND(SUM(H36:H38),2)</f>
        <v>0</v>
      </c>
      <c r="I35" s="28">
        <f>ROUND(SUM(I36:I38),2)</f>
        <v>0</v>
      </c>
      <c r="J35" s="28">
        <f>ROUND(SUM(J36:J38),2)</f>
        <v>0</v>
      </c>
      <c r="K35" s="53" t="s">
        <v>4</v>
      </c>
      <c r="AI35" s="34" t="s">
        <v>109</v>
      </c>
      <c r="AS35" s="28">
        <f>SUM(AJ36:AJ38)</f>
        <v>0</v>
      </c>
      <c r="AT35" s="28">
        <f>SUM(AK36:AK38)</f>
        <v>0</v>
      </c>
      <c r="AU35" s="28">
        <f>SUM(AL36:AL38)</f>
        <v>0</v>
      </c>
    </row>
    <row r="36" spans="1:76" ht="14.5" x14ac:dyDescent="0.35">
      <c r="A36" s="1" t="s">
        <v>181</v>
      </c>
      <c r="B36" s="2" t="s">
        <v>182</v>
      </c>
      <c r="C36" s="80" t="s">
        <v>183</v>
      </c>
      <c r="D36" s="75"/>
      <c r="E36" s="2" t="s">
        <v>174</v>
      </c>
      <c r="F36" s="54">
        <v>1.5</v>
      </c>
      <c r="G36" s="55">
        <v>0</v>
      </c>
      <c r="H36" s="54">
        <f>ROUND(F36*AO36,2)</f>
        <v>0</v>
      </c>
      <c r="I36" s="54">
        <f>ROUND(F36*AP36,2)</f>
        <v>0</v>
      </c>
      <c r="J36" s="54">
        <f>ROUND(F36*G36,2)</f>
        <v>0</v>
      </c>
      <c r="K36" s="56" t="s">
        <v>121</v>
      </c>
      <c r="Z36" s="54">
        <f>ROUND(IF(AQ36="5",BJ36,0),2)</f>
        <v>0</v>
      </c>
      <c r="AB36" s="54">
        <f>ROUND(IF(AQ36="1",BH36,0),2)</f>
        <v>0</v>
      </c>
      <c r="AC36" s="54">
        <f>ROUND(IF(AQ36="1",BI36,0),2)</f>
        <v>0</v>
      </c>
      <c r="AD36" s="54">
        <f>ROUND(IF(AQ36="7",BH36,0),2)</f>
        <v>0</v>
      </c>
      <c r="AE36" s="54">
        <f>ROUND(IF(AQ36="7",BI36,0),2)</f>
        <v>0</v>
      </c>
      <c r="AF36" s="54">
        <f>ROUND(IF(AQ36="2",BH36,0),2)</f>
        <v>0</v>
      </c>
      <c r="AG36" s="54">
        <f>ROUND(IF(AQ36="2",BI36,0),2)</f>
        <v>0</v>
      </c>
      <c r="AH36" s="54">
        <f>ROUND(IF(AQ36="0",BJ36,0),2)</f>
        <v>0</v>
      </c>
      <c r="AI36" s="34" t="s">
        <v>109</v>
      </c>
      <c r="AJ36" s="54">
        <f>IF(AN36=0,J36,0)</f>
        <v>0</v>
      </c>
      <c r="AK36" s="54">
        <f>IF(AN36=12,J36,0)</f>
        <v>0</v>
      </c>
      <c r="AL36" s="54">
        <f>IF(AN36=21,J36,0)</f>
        <v>0</v>
      </c>
      <c r="AN36" s="54">
        <v>21</v>
      </c>
      <c r="AO36" s="54">
        <f>G36*1</f>
        <v>0</v>
      </c>
      <c r="AP36" s="54">
        <f>G36*(1-1)</f>
        <v>0</v>
      </c>
      <c r="AQ36" s="57" t="s">
        <v>184</v>
      </c>
      <c r="AV36" s="54">
        <f>ROUND(AW36+AX36,2)</f>
        <v>0</v>
      </c>
      <c r="AW36" s="54">
        <f>ROUND(F36*AO36,2)</f>
        <v>0</v>
      </c>
      <c r="AX36" s="54">
        <f>ROUND(F36*AP36,2)</f>
        <v>0</v>
      </c>
      <c r="AY36" s="57" t="s">
        <v>185</v>
      </c>
      <c r="AZ36" s="57" t="s">
        <v>186</v>
      </c>
      <c r="BA36" s="34" t="s">
        <v>116</v>
      </c>
      <c r="BC36" s="54">
        <f>AW36+AX36</f>
        <v>0</v>
      </c>
      <c r="BD36" s="54">
        <f>G36/(100-BE36)*100</f>
        <v>0</v>
      </c>
      <c r="BE36" s="54">
        <v>0</v>
      </c>
      <c r="BF36" s="54">
        <f>36</f>
        <v>36</v>
      </c>
      <c r="BH36" s="54">
        <f>F36*AO36</f>
        <v>0</v>
      </c>
      <c r="BI36" s="54">
        <f>F36*AP36</f>
        <v>0</v>
      </c>
      <c r="BJ36" s="54">
        <f>F36*G36</f>
        <v>0</v>
      </c>
      <c r="BK36" s="57" t="s">
        <v>180</v>
      </c>
      <c r="BL36" s="54"/>
      <c r="BW36" s="54">
        <v>21</v>
      </c>
      <c r="BX36" s="3" t="s">
        <v>183</v>
      </c>
    </row>
    <row r="37" spans="1:76" ht="14.5" x14ac:dyDescent="0.35">
      <c r="A37" s="1" t="s">
        <v>187</v>
      </c>
      <c r="B37" s="2" t="s">
        <v>188</v>
      </c>
      <c r="C37" s="80" t="s">
        <v>189</v>
      </c>
      <c r="D37" s="75"/>
      <c r="E37" s="2" t="s">
        <v>190</v>
      </c>
      <c r="F37" s="54">
        <v>0.1</v>
      </c>
      <c r="G37" s="55">
        <v>0</v>
      </c>
      <c r="H37" s="54">
        <f>ROUND(F37*AO37,2)</f>
        <v>0</v>
      </c>
      <c r="I37" s="54">
        <f>ROUND(F37*AP37,2)</f>
        <v>0</v>
      </c>
      <c r="J37" s="54">
        <f>ROUND(F37*G37,2)</f>
        <v>0</v>
      </c>
      <c r="K37" s="56" t="s">
        <v>121</v>
      </c>
      <c r="Z37" s="54">
        <f>ROUND(IF(AQ37="5",BJ37,0),2)</f>
        <v>0</v>
      </c>
      <c r="AB37" s="54">
        <f>ROUND(IF(AQ37="1",BH37,0),2)</f>
        <v>0</v>
      </c>
      <c r="AC37" s="54">
        <f>ROUND(IF(AQ37="1",BI37,0),2)</f>
        <v>0</v>
      </c>
      <c r="AD37" s="54">
        <f>ROUND(IF(AQ37="7",BH37,0),2)</f>
        <v>0</v>
      </c>
      <c r="AE37" s="54">
        <f>ROUND(IF(AQ37="7",BI37,0),2)</f>
        <v>0</v>
      </c>
      <c r="AF37" s="54">
        <f>ROUND(IF(AQ37="2",BH37,0),2)</f>
        <v>0</v>
      </c>
      <c r="AG37" s="54">
        <f>ROUND(IF(AQ37="2",BI37,0),2)</f>
        <v>0</v>
      </c>
      <c r="AH37" s="54">
        <f>ROUND(IF(AQ37="0",BJ37,0),2)</f>
        <v>0</v>
      </c>
      <c r="AI37" s="34" t="s">
        <v>109</v>
      </c>
      <c r="AJ37" s="54">
        <f>IF(AN37=0,J37,0)</f>
        <v>0</v>
      </c>
      <c r="AK37" s="54">
        <f>IF(AN37=12,J37,0)</f>
        <v>0</v>
      </c>
      <c r="AL37" s="54">
        <f>IF(AN37=21,J37,0)</f>
        <v>0</v>
      </c>
      <c r="AN37" s="54">
        <v>21</v>
      </c>
      <c r="AO37" s="54">
        <f>G37*1</f>
        <v>0</v>
      </c>
      <c r="AP37" s="54">
        <f>G37*(1-1)</f>
        <v>0</v>
      </c>
      <c r="AQ37" s="57" t="s">
        <v>184</v>
      </c>
      <c r="AV37" s="54">
        <f>ROUND(AW37+AX37,2)</f>
        <v>0</v>
      </c>
      <c r="AW37" s="54">
        <f>ROUND(F37*AO37,2)</f>
        <v>0</v>
      </c>
      <c r="AX37" s="54">
        <f>ROUND(F37*AP37,2)</f>
        <v>0</v>
      </c>
      <c r="AY37" s="57" t="s">
        <v>185</v>
      </c>
      <c r="AZ37" s="57" t="s">
        <v>186</v>
      </c>
      <c r="BA37" s="34" t="s">
        <v>116</v>
      </c>
      <c r="BC37" s="54">
        <f>AW37+AX37</f>
        <v>0</v>
      </c>
      <c r="BD37" s="54">
        <f>G37/(100-BE37)*100</f>
        <v>0</v>
      </c>
      <c r="BE37" s="54">
        <v>0</v>
      </c>
      <c r="BF37" s="54">
        <f>37</f>
        <v>37</v>
      </c>
      <c r="BH37" s="54">
        <f>F37*AO37</f>
        <v>0</v>
      </c>
      <c r="BI37" s="54">
        <f>F37*AP37</f>
        <v>0</v>
      </c>
      <c r="BJ37" s="54">
        <f>F37*G37</f>
        <v>0</v>
      </c>
      <c r="BK37" s="57" t="s">
        <v>180</v>
      </c>
      <c r="BL37" s="54"/>
      <c r="BW37" s="54">
        <v>21</v>
      </c>
      <c r="BX37" s="3" t="s">
        <v>189</v>
      </c>
    </row>
    <row r="38" spans="1:76" ht="14.5" x14ac:dyDescent="0.35">
      <c r="A38" s="1" t="s">
        <v>191</v>
      </c>
      <c r="B38" s="2" t="s">
        <v>192</v>
      </c>
      <c r="C38" s="80" t="s">
        <v>193</v>
      </c>
      <c r="D38" s="75"/>
      <c r="E38" s="2" t="s">
        <v>127</v>
      </c>
      <c r="F38" s="54">
        <v>1</v>
      </c>
      <c r="G38" s="55">
        <v>0</v>
      </c>
      <c r="H38" s="54">
        <f>ROUND(F38*AO38,2)</f>
        <v>0</v>
      </c>
      <c r="I38" s="54">
        <f>ROUND(F38*AP38,2)</f>
        <v>0</v>
      </c>
      <c r="J38" s="54">
        <f>ROUND(F38*G38,2)</f>
        <v>0</v>
      </c>
      <c r="K38" s="56" t="s">
        <v>121</v>
      </c>
      <c r="Z38" s="54">
        <f>ROUND(IF(AQ38="5",BJ38,0),2)</f>
        <v>0</v>
      </c>
      <c r="AB38" s="54">
        <f>ROUND(IF(AQ38="1",BH38,0),2)</f>
        <v>0</v>
      </c>
      <c r="AC38" s="54">
        <f>ROUND(IF(AQ38="1",BI38,0),2)</f>
        <v>0</v>
      </c>
      <c r="AD38" s="54">
        <f>ROUND(IF(AQ38="7",BH38,0),2)</f>
        <v>0</v>
      </c>
      <c r="AE38" s="54">
        <f>ROUND(IF(AQ38="7",BI38,0),2)</f>
        <v>0</v>
      </c>
      <c r="AF38" s="54">
        <f>ROUND(IF(AQ38="2",BH38,0),2)</f>
        <v>0</v>
      </c>
      <c r="AG38" s="54">
        <f>ROUND(IF(AQ38="2",BI38,0),2)</f>
        <v>0</v>
      </c>
      <c r="AH38" s="54">
        <f>ROUND(IF(AQ38="0",BJ38,0),2)</f>
        <v>0</v>
      </c>
      <c r="AI38" s="34" t="s">
        <v>109</v>
      </c>
      <c r="AJ38" s="54">
        <f>IF(AN38=0,J38,0)</f>
        <v>0</v>
      </c>
      <c r="AK38" s="54">
        <f>IF(AN38=12,J38,0)</f>
        <v>0</v>
      </c>
      <c r="AL38" s="54">
        <f>IF(AN38=21,J38,0)</f>
        <v>0</v>
      </c>
      <c r="AN38" s="54">
        <v>21</v>
      </c>
      <c r="AO38" s="54">
        <f>G38*1</f>
        <v>0</v>
      </c>
      <c r="AP38" s="54">
        <f>G38*(1-1)</f>
        <v>0</v>
      </c>
      <c r="AQ38" s="57" t="s">
        <v>184</v>
      </c>
      <c r="AV38" s="54">
        <f>ROUND(AW38+AX38,2)</f>
        <v>0</v>
      </c>
      <c r="AW38" s="54">
        <f>ROUND(F38*AO38,2)</f>
        <v>0</v>
      </c>
      <c r="AX38" s="54">
        <f>ROUND(F38*AP38,2)</f>
        <v>0</v>
      </c>
      <c r="AY38" s="57" t="s">
        <v>185</v>
      </c>
      <c r="AZ38" s="57" t="s">
        <v>186</v>
      </c>
      <c r="BA38" s="34" t="s">
        <v>116</v>
      </c>
      <c r="BC38" s="54">
        <f>AW38+AX38</f>
        <v>0</v>
      </c>
      <c r="BD38" s="54">
        <f>G38/(100-BE38)*100</f>
        <v>0</v>
      </c>
      <c r="BE38" s="54">
        <v>0</v>
      </c>
      <c r="BF38" s="54">
        <f>38</f>
        <v>38</v>
      </c>
      <c r="BH38" s="54">
        <f>F38*AO38</f>
        <v>0</v>
      </c>
      <c r="BI38" s="54">
        <f>F38*AP38</f>
        <v>0</v>
      </c>
      <c r="BJ38" s="54">
        <f>F38*G38</f>
        <v>0</v>
      </c>
      <c r="BK38" s="57" t="s">
        <v>180</v>
      </c>
      <c r="BL38" s="54"/>
      <c r="BW38" s="54">
        <v>21</v>
      </c>
      <c r="BX38" s="3" t="s">
        <v>193</v>
      </c>
    </row>
    <row r="39" spans="1:76" ht="40.5" customHeight="1" x14ac:dyDescent="0.35">
      <c r="A39" s="58"/>
      <c r="B39" s="59" t="s">
        <v>54</v>
      </c>
      <c r="C39" s="160" t="s">
        <v>194</v>
      </c>
      <c r="D39" s="161"/>
      <c r="E39" s="161"/>
      <c r="F39" s="161"/>
      <c r="G39" s="162"/>
      <c r="H39" s="161"/>
      <c r="I39" s="161"/>
      <c r="J39" s="161"/>
      <c r="K39" s="163"/>
    </row>
    <row r="40" spans="1:76" ht="14.5" x14ac:dyDescent="0.35">
      <c r="A40" s="60" t="s">
        <v>4</v>
      </c>
      <c r="B40" s="61" t="s">
        <v>4</v>
      </c>
      <c r="C40" s="164" t="s">
        <v>195</v>
      </c>
      <c r="D40" s="165"/>
      <c r="E40" s="62" t="s">
        <v>70</v>
      </c>
      <c r="F40" s="62" t="s">
        <v>70</v>
      </c>
      <c r="G40" s="52" t="s">
        <v>70</v>
      </c>
      <c r="H40" s="63">
        <f>ROUND(SUM(H41,H48,H51,H53),2)</f>
        <v>0</v>
      </c>
      <c r="I40" s="63">
        <f>ROUND(SUM(I41,I48,I51,I53),2)</f>
        <v>0</v>
      </c>
      <c r="J40" s="63">
        <f>ROUND(SUM(J41,J48,J51,J53),2)</f>
        <v>0</v>
      </c>
      <c r="K40" s="64" t="s">
        <v>4</v>
      </c>
    </row>
    <row r="41" spans="1:76" ht="14.5" x14ac:dyDescent="0.35">
      <c r="A41" s="49" t="s">
        <v>4</v>
      </c>
      <c r="B41" s="50" t="s">
        <v>191</v>
      </c>
      <c r="C41" s="158" t="s">
        <v>196</v>
      </c>
      <c r="D41" s="159"/>
      <c r="E41" s="51" t="s">
        <v>70</v>
      </c>
      <c r="F41" s="51" t="s">
        <v>70</v>
      </c>
      <c r="G41" s="52" t="s">
        <v>70</v>
      </c>
      <c r="H41" s="28">
        <f>ROUND(SUM(H42:H47),2)</f>
        <v>0</v>
      </c>
      <c r="I41" s="28">
        <f>ROUND(SUM(I42:I47),2)</f>
        <v>0</v>
      </c>
      <c r="J41" s="28">
        <f>ROUND(SUM(J42:J47),2)</f>
        <v>0</v>
      </c>
      <c r="K41" s="53" t="s">
        <v>4</v>
      </c>
      <c r="AI41" s="34" t="s">
        <v>197</v>
      </c>
      <c r="AS41" s="28">
        <f>SUM(AJ42:AJ47)</f>
        <v>0</v>
      </c>
      <c r="AT41" s="28">
        <f>SUM(AK42:AK47)</f>
        <v>0</v>
      </c>
      <c r="AU41" s="28">
        <f>SUM(AL42:AL47)</f>
        <v>0</v>
      </c>
    </row>
    <row r="42" spans="1:76" ht="14.5" x14ac:dyDescent="0.35">
      <c r="A42" s="1" t="s">
        <v>198</v>
      </c>
      <c r="B42" s="2" t="s">
        <v>199</v>
      </c>
      <c r="C42" s="80" t="s">
        <v>200</v>
      </c>
      <c r="D42" s="75"/>
      <c r="E42" s="2" t="s">
        <v>134</v>
      </c>
      <c r="F42" s="54">
        <v>1</v>
      </c>
      <c r="G42" s="55">
        <v>0</v>
      </c>
      <c r="H42" s="54">
        <f t="shared" ref="H42:H47" si="22">ROUND(F42*AO42,2)</f>
        <v>0</v>
      </c>
      <c r="I42" s="54">
        <f t="shared" ref="I42:I47" si="23">ROUND(F42*AP42,2)</f>
        <v>0</v>
      </c>
      <c r="J42" s="54">
        <f t="shared" ref="J42:J47" si="24">ROUND(F42*G42,2)</f>
        <v>0</v>
      </c>
      <c r="K42" s="56" t="s">
        <v>121</v>
      </c>
      <c r="Z42" s="54">
        <f t="shared" ref="Z42:Z47" si="25">ROUND(IF(AQ42="5",BJ42,0),2)</f>
        <v>0</v>
      </c>
      <c r="AB42" s="54">
        <f t="shared" ref="AB42:AB47" si="26">ROUND(IF(AQ42="1",BH42,0),2)</f>
        <v>0</v>
      </c>
      <c r="AC42" s="54">
        <f t="shared" ref="AC42:AC47" si="27">ROUND(IF(AQ42="1",BI42,0),2)</f>
        <v>0</v>
      </c>
      <c r="AD42" s="54">
        <f t="shared" ref="AD42:AD47" si="28">ROUND(IF(AQ42="7",BH42,0),2)</f>
        <v>0</v>
      </c>
      <c r="AE42" s="54">
        <f t="shared" ref="AE42:AE47" si="29">ROUND(IF(AQ42="7",BI42,0),2)</f>
        <v>0</v>
      </c>
      <c r="AF42" s="54">
        <f t="shared" ref="AF42:AF47" si="30">ROUND(IF(AQ42="2",BH42,0),2)</f>
        <v>0</v>
      </c>
      <c r="AG42" s="54">
        <f t="shared" ref="AG42:AG47" si="31">ROUND(IF(AQ42="2",BI42,0),2)</f>
        <v>0</v>
      </c>
      <c r="AH42" s="54">
        <f t="shared" ref="AH42:AH47" si="32">ROUND(IF(AQ42="0",BJ42,0),2)</f>
        <v>0</v>
      </c>
      <c r="AI42" s="34" t="s">
        <v>197</v>
      </c>
      <c r="AJ42" s="54">
        <f t="shared" ref="AJ42:AJ47" si="33">IF(AN42=0,J42,0)</f>
        <v>0</v>
      </c>
      <c r="AK42" s="54">
        <f t="shared" ref="AK42:AK47" si="34">IF(AN42=12,J42,0)</f>
        <v>0</v>
      </c>
      <c r="AL42" s="54">
        <f t="shared" ref="AL42:AL47" si="35">IF(AN42=21,J42,0)</f>
        <v>0</v>
      </c>
      <c r="AN42" s="54">
        <v>21</v>
      </c>
      <c r="AO42" s="54">
        <f>G42*0.069440729</f>
        <v>0</v>
      </c>
      <c r="AP42" s="54">
        <f>G42*(1-0.069440729)</f>
        <v>0</v>
      </c>
      <c r="AQ42" s="57" t="s">
        <v>110</v>
      </c>
      <c r="AV42" s="54">
        <f t="shared" ref="AV42:AV47" si="36">ROUND(AW42+AX42,2)</f>
        <v>0</v>
      </c>
      <c r="AW42" s="54">
        <f t="shared" ref="AW42:AW47" si="37">ROUND(F42*AO42,2)</f>
        <v>0</v>
      </c>
      <c r="AX42" s="54">
        <f t="shared" ref="AX42:AX47" si="38">ROUND(F42*AP42,2)</f>
        <v>0</v>
      </c>
      <c r="AY42" s="57" t="s">
        <v>201</v>
      </c>
      <c r="AZ42" s="57" t="s">
        <v>202</v>
      </c>
      <c r="BA42" s="34" t="s">
        <v>203</v>
      </c>
      <c r="BC42" s="54">
        <f t="shared" ref="BC42:BC47" si="39">AW42+AX42</f>
        <v>0</v>
      </c>
      <c r="BD42" s="54">
        <f t="shared" ref="BD42:BD47" si="40">G42/(100-BE42)*100</f>
        <v>0</v>
      </c>
      <c r="BE42" s="54">
        <v>0</v>
      </c>
      <c r="BF42" s="54">
        <f>42</f>
        <v>42</v>
      </c>
      <c r="BH42" s="54">
        <f t="shared" ref="BH42:BH47" si="41">F42*AO42</f>
        <v>0</v>
      </c>
      <c r="BI42" s="54">
        <f t="shared" ref="BI42:BI47" si="42">F42*AP42</f>
        <v>0</v>
      </c>
      <c r="BJ42" s="54">
        <f t="shared" ref="BJ42:BJ47" si="43">F42*G42</f>
        <v>0</v>
      </c>
      <c r="BK42" s="57" t="s">
        <v>117</v>
      </c>
      <c r="BL42" s="54">
        <v>18</v>
      </c>
      <c r="BW42" s="54">
        <v>21</v>
      </c>
      <c r="BX42" s="3" t="s">
        <v>200</v>
      </c>
    </row>
    <row r="43" spans="1:76" ht="14.5" x14ac:dyDescent="0.35">
      <c r="A43" s="1" t="s">
        <v>204</v>
      </c>
      <c r="B43" s="2" t="s">
        <v>205</v>
      </c>
      <c r="C43" s="80" t="s">
        <v>206</v>
      </c>
      <c r="D43" s="75"/>
      <c r="E43" s="2" t="s">
        <v>134</v>
      </c>
      <c r="F43" s="54">
        <v>3</v>
      </c>
      <c r="G43" s="55">
        <v>0</v>
      </c>
      <c r="H43" s="54">
        <f t="shared" si="22"/>
        <v>0</v>
      </c>
      <c r="I43" s="54">
        <f t="shared" si="23"/>
        <v>0</v>
      </c>
      <c r="J43" s="54">
        <f t="shared" si="24"/>
        <v>0</v>
      </c>
      <c r="K43" s="56" t="s">
        <v>121</v>
      </c>
      <c r="Z43" s="54">
        <f t="shared" si="25"/>
        <v>0</v>
      </c>
      <c r="AB43" s="54">
        <f t="shared" si="26"/>
        <v>0</v>
      </c>
      <c r="AC43" s="54">
        <f t="shared" si="27"/>
        <v>0</v>
      </c>
      <c r="AD43" s="54">
        <f t="shared" si="28"/>
        <v>0</v>
      </c>
      <c r="AE43" s="54">
        <f t="shared" si="29"/>
        <v>0</v>
      </c>
      <c r="AF43" s="54">
        <f t="shared" si="30"/>
        <v>0</v>
      </c>
      <c r="AG43" s="54">
        <f t="shared" si="31"/>
        <v>0</v>
      </c>
      <c r="AH43" s="54">
        <f t="shared" si="32"/>
        <v>0</v>
      </c>
      <c r="AI43" s="34" t="s">
        <v>197</v>
      </c>
      <c r="AJ43" s="54">
        <f t="shared" si="33"/>
        <v>0</v>
      </c>
      <c r="AK43" s="54">
        <f t="shared" si="34"/>
        <v>0</v>
      </c>
      <c r="AL43" s="54">
        <f t="shared" si="35"/>
        <v>0</v>
      </c>
      <c r="AN43" s="54">
        <v>21</v>
      </c>
      <c r="AO43" s="54">
        <f>G43*0</f>
        <v>0</v>
      </c>
      <c r="AP43" s="54">
        <f>G43*(1-0)</f>
        <v>0</v>
      </c>
      <c r="AQ43" s="57" t="s">
        <v>110</v>
      </c>
      <c r="AV43" s="54">
        <f t="shared" si="36"/>
        <v>0</v>
      </c>
      <c r="AW43" s="54">
        <f t="shared" si="37"/>
        <v>0</v>
      </c>
      <c r="AX43" s="54">
        <f t="shared" si="38"/>
        <v>0</v>
      </c>
      <c r="AY43" s="57" t="s">
        <v>201</v>
      </c>
      <c r="AZ43" s="57" t="s">
        <v>202</v>
      </c>
      <c r="BA43" s="34" t="s">
        <v>203</v>
      </c>
      <c r="BC43" s="54">
        <f t="shared" si="39"/>
        <v>0</v>
      </c>
      <c r="BD43" s="54">
        <f t="shared" si="40"/>
        <v>0</v>
      </c>
      <c r="BE43" s="54">
        <v>0</v>
      </c>
      <c r="BF43" s="54">
        <f>43</f>
        <v>43</v>
      </c>
      <c r="BH43" s="54">
        <f t="shared" si="41"/>
        <v>0</v>
      </c>
      <c r="BI43" s="54">
        <f t="shared" si="42"/>
        <v>0</v>
      </c>
      <c r="BJ43" s="54">
        <f t="shared" si="43"/>
        <v>0</v>
      </c>
      <c r="BK43" s="57" t="s">
        <v>117</v>
      </c>
      <c r="BL43" s="54">
        <v>18</v>
      </c>
      <c r="BW43" s="54">
        <v>21</v>
      </c>
      <c r="BX43" s="3" t="s">
        <v>206</v>
      </c>
    </row>
    <row r="44" spans="1:76" ht="14.5" x14ac:dyDescent="0.35">
      <c r="A44" s="1" t="s">
        <v>207</v>
      </c>
      <c r="B44" s="2" t="s">
        <v>208</v>
      </c>
      <c r="C44" s="80" t="s">
        <v>209</v>
      </c>
      <c r="D44" s="75"/>
      <c r="E44" s="2" t="s">
        <v>134</v>
      </c>
      <c r="F44" s="54">
        <v>3</v>
      </c>
      <c r="G44" s="55">
        <v>0</v>
      </c>
      <c r="H44" s="54">
        <f t="shared" si="22"/>
        <v>0</v>
      </c>
      <c r="I44" s="54">
        <f t="shared" si="23"/>
        <v>0</v>
      </c>
      <c r="J44" s="54">
        <f t="shared" si="24"/>
        <v>0</v>
      </c>
      <c r="K44" s="56" t="s">
        <v>121</v>
      </c>
      <c r="Z44" s="54">
        <f t="shared" si="25"/>
        <v>0</v>
      </c>
      <c r="AB44" s="54">
        <f t="shared" si="26"/>
        <v>0</v>
      </c>
      <c r="AC44" s="54">
        <f t="shared" si="27"/>
        <v>0</v>
      </c>
      <c r="AD44" s="54">
        <f t="shared" si="28"/>
        <v>0</v>
      </c>
      <c r="AE44" s="54">
        <f t="shared" si="29"/>
        <v>0</v>
      </c>
      <c r="AF44" s="54">
        <f t="shared" si="30"/>
        <v>0</v>
      </c>
      <c r="AG44" s="54">
        <f t="shared" si="31"/>
        <v>0</v>
      </c>
      <c r="AH44" s="54">
        <f t="shared" si="32"/>
        <v>0</v>
      </c>
      <c r="AI44" s="34" t="s">
        <v>197</v>
      </c>
      <c r="AJ44" s="54">
        <f t="shared" si="33"/>
        <v>0</v>
      </c>
      <c r="AK44" s="54">
        <f t="shared" si="34"/>
        <v>0</v>
      </c>
      <c r="AL44" s="54">
        <f t="shared" si="35"/>
        <v>0</v>
      </c>
      <c r="AN44" s="54">
        <v>21</v>
      </c>
      <c r="AO44" s="54">
        <f>G44*0.005969499</f>
        <v>0</v>
      </c>
      <c r="AP44" s="54">
        <f>G44*(1-0.005969499)</f>
        <v>0</v>
      </c>
      <c r="AQ44" s="57" t="s">
        <v>110</v>
      </c>
      <c r="AV44" s="54">
        <f t="shared" si="36"/>
        <v>0</v>
      </c>
      <c r="AW44" s="54">
        <f t="shared" si="37"/>
        <v>0</v>
      </c>
      <c r="AX44" s="54">
        <f t="shared" si="38"/>
        <v>0</v>
      </c>
      <c r="AY44" s="57" t="s">
        <v>201</v>
      </c>
      <c r="AZ44" s="57" t="s">
        <v>202</v>
      </c>
      <c r="BA44" s="34" t="s">
        <v>203</v>
      </c>
      <c r="BC44" s="54">
        <f t="shared" si="39"/>
        <v>0</v>
      </c>
      <c r="BD44" s="54">
        <f t="shared" si="40"/>
        <v>0</v>
      </c>
      <c r="BE44" s="54">
        <v>0</v>
      </c>
      <c r="BF44" s="54">
        <f>44</f>
        <v>44</v>
      </c>
      <c r="BH44" s="54">
        <f t="shared" si="41"/>
        <v>0</v>
      </c>
      <c r="BI44" s="54">
        <f t="shared" si="42"/>
        <v>0</v>
      </c>
      <c r="BJ44" s="54">
        <f t="shared" si="43"/>
        <v>0</v>
      </c>
      <c r="BK44" s="57" t="s">
        <v>117</v>
      </c>
      <c r="BL44" s="54">
        <v>18</v>
      </c>
      <c r="BW44" s="54">
        <v>21</v>
      </c>
      <c r="BX44" s="3" t="s">
        <v>209</v>
      </c>
    </row>
    <row r="45" spans="1:76" ht="14.5" x14ac:dyDescent="0.35">
      <c r="A45" s="1" t="s">
        <v>210</v>
      </c>
      <c r="B45" s="2" t="s">
        <v>211</v>
      </c>
      <c r="C45" s="80" t="s">
        <v>212</v>
      </c>
      <c r="D45" s="75"/>
      <c r="E45" s="2" t="s">
        <v>134</v>
      </c>
      <c r="F45" s="54">
        <v>3</v>
      </c>
      <c r="G45" s="55">
        <v>0</v>
      </c>
      <c r="H45" s="54">
        <f t="shared" si="22"/>
        <v>0</v>
      </c>
      <c r="I45" s="54">
        <f t="shared" si="23"/>
        <v>0</v>
      </c>
      <c r="J45" s="54">
        <f t="shared" si="24"/>
        <v>0</v>
      </c>
      <c r="K45" s="56" t="s">
        <v>121</v>
      </c>
      <c r="Z45" s="54">
        <f t="shared" si="25"/>
        <v>0</v>
      </c>
      <c r="AB45" s="54">
        <f t="shared" si="26"/>
        <v>0</v>
      </c>
      <c r="AC45" s="54">
        <f t="shared" si="27"/>
        <v>0</v>
      </c>
      <c r="AD45" s="54">
        <f t="shared" si="28"/>
        <v>0</v>
      </c>
      <c r="AE45" s="54">
        <f t="shared" si="29"/>
        <v>0</v>
      </c>
      <c r="AF45" s="54">
        <f t="shared" si="30"/>
        <v>0</v>
      </c>
      <c r="AG45" s="54">
        <f t="shared" si="31"/>
        <v>0</v>
      </c>
      <c r="AH45" s="54">
        <f t="shared" si="32"/>
        <v>0</v>
      </c>
      <c r="AI45" s="34" t="s">
        <v>197</v>
      </c>
      <c r="AJ45" s="54">
        <f t="shared" si="33"/>
        <v>0</v>
      </c>
      <c r="AK45" s="54">
        <f t="shared" si="34"/>
        <v>0</v>
      </c>
      <c r="AL45" s="54">
        <f t="shared" si="35"/>
        <v>0</v>
      </c>
      <c r="AN45" s="54">
        <v>21</v>
      </c>
      <c r="AO45" s="54">
        <f>G45*0.140832955</f>
        <v>0</v>
      </c>
      <c r="AP45" s="54">
        <f>G45*(1-0.140832955)</f>
        <v>0</v>
      </c>
      <c r="AQ45" s="57" t="s">
        <v>110</v>
      </c>
      <c r="AV45" s="54">
        <f t="shared" si="36"/>
        <v>0</v>
      </c>
      <c r="AW45" s="54">
        <f t="shared" si="37"/>
        <v>0</v>
      </c>
      <c r="AX45" s="54">
        <f t="shared" si="38"/>
        <v>0</v>
      </c>
      <c r="AY45" s="57" t="s">
        <v>201</v>
      </c>
      <c r="AZ45" s="57" t="s">
        <v>202</v>
      </c>
      <c r="BA45" s="34" t="s">
        <v>203</v>
      </c>
      <c r="BC45" s="54">
        <f t="shared" si="39"/>
        <v>0</v>
      </c>
      <c r="BD45" s="54">
        <f t="shared" si="40"/>
        <v>0</v>
      </c>
      <c r="BE45" s="54">
        <v>0</v>
      </c>
      <c r="BF45" s="54">
        <f>45</f>
        <v>45</v>
      </c>
      <c r="BH45" s="54">
        <f t="shared" si="41"/>
        <v>0</v>
      </c>
      <c r="BI45" s="54">
        <f t="shared" si="42"/>
        <v>0</v>
      </c>
      <c r="BJ45" s="54">
        <f t="shared" si="43"/>
        <v>0</v>
      </c>
      <c r="BK45" s="57" t="s">
        <v>117</v>
      </c>
      <c r="BL45" s="54">
        <v>18</v>
      </c>
      <c r="BW45" s="54">
        <v>21</v>
      </c>
      <c r="BX45" s="3" t="s">
        <v>212</v>
      </c>
    </row>
    <row r="46" spans="1:76" ht="14.5" x14ac:dyDescent="0.35">
      <c r="A46" s="1" t="s">
        <v>213</v>
      </c>
      <c r="B46" s="2" t="s">
        <v>214</v>
      </c>
      <c r="C46" s="80" t="s">
        <v>215</v>
      </c>
      <c r="D46" s="75"/>
      <c r="E46" s="2" t="s">
        <v>134</v>
      </c>
      <c r="F46" s="54">
        <v>3</v>
      </c>
      <c r="G46" s="55">
        <v>0</v>
      </c>
      <c r="H46" s="54">
        <f t="shared" si="22"/>
        <v>0</v>
      </c>
      <c r="I46" s="54">
        <f t="shared" si="23"/>
        <v>0</v>
      </c>
      <c r="J46" s="54">
        <f t="shared" si="24"/>
        <v>0</v>
      </c>
      <c r="K46" s="56" t="s">
        <v>121</v>
      </c>
      <c r="Z46" s="54">
        <f t="shared" si="25"/>
        <v>0</v>
      </c>
      <c r="AB46" s="54">
        <f t="shared" si="26"/>
        <v>0</v>
      </c>
      <c r="AC46" s="54">
        <f t="shared" si="27"/>
        <v>0</v>
      </c>
      <c r="AD46" s="54">
        <f t="shared" si="28"/>
        <v>0</v>
      </c>
      <c r="AE46" s="54">
        <f t="shared" si="29"/>
        <v>0</v>
      </c>
      <c r="AF46" s="54">
        <f t="shared" si="30"/>
        <v>0</v>
      </c>
      <c r="AG46" s="54">
        <f t="shared" si="31"/>
        <v>0</v>
      </c>
      <c r="AH46" s="54">
        <f t="shared" si="32"/>
        <v>0</v>
      </c>
      <c r="AI46" s="34" t="s">
        <v>197</v>
      </c>
      <c r="AJ46" s="54">
        <f t="shared" si="33"/>
        <v>0</v>
      </c>
      <c r="AK46" s="54">
        <f t="shared" si="34"/>
        <v>0</v>
      </c>
      <c r="AL46" s="54">
        <f t="shared" si="35"/>
        <v>0</v>
      </c>
      <c r="AN46" s="54">
        <v>21</v>
      </c>
      <c r="AO46" s="54">
        <f>G46*0</f>
        <v>0</v>
      </c>
      <c r="AP46" s="54">
        <f>G46*(1-0)</f>
        <v>0</v>
      </c>
      <c r="AQ46" s="57" t="s">
        <v>110</v>
      </c>
      <c r="AV46" s="54">
        <f t="shared" si="36"/>
        <v>0</v>
      </c>
      <c r="AW46" s="54">
        <f t="shared" si="37"/>
        <v>0</v>
      </c>
      <c r="AX46" s="54">
        <f t="shared" si="38"/>
        <v>0</v>
      </c>
      <c r="AY46" s="57" t="s">
        <v>201</v>
      </c>
      <c r="AZ46" s="57" t="s">
        <v>202</v>
      </c>
      <c r="BA46" s="34" t="s">
        <v>203</v>
      </c>
      <c r="BC46" s="54">
        <f t="shared" si="39"/>
        <v>0</v>
      </c>
      <c r="BD46" s="54">
        <f t="shared" si="40"/>
        <v>0</v>
      </c>
      <c r="BE46" s="54">
        <v>0</v>
      </c>
      <c r="BF46" s="54">
        <f>46</f>
        <v>46</v>
      </c>
      <c r="BH46" s="54">
        <f t="shared" si="41"/>
        <v>0</v>
      </c>
      <c r="BI46" s="54">
        <f t="shared" si="42"/>
        <v>0</v>
      </c>
      <c r="BJ46" s="54">
        <f t="shared" si="43"/>
        <v>0</v>
      </c>
      <c r="BK46" s="57" t="s">
        <v>117</v>
      </c>
      <c r="BL46" s="54">
        <v>18</v>
      </c>
      <c r="BW46" s="54">
        <v>21</v>
      </c>
      <c r="BX46" s="3" t="s">
        <v>215</v>
      </c>
    </row>
    <row r="47" spans="1:76" ht="14.5" x14ac:dyDescent="0.35">
      <c r="A47" s="1" t="s">
        <v>216</v>
      </c>
      <c r="B47" s="2" t="s">
        <v>217</v>
      </c>
      <c r="C47" s="80" t="s">
        <v>218</v>
      </c>
      <c r="D47" s="75"/>
      <c r="E47" s="2" t="s">
        <v>174</v>
      </c>
      <c r="F47" s="54">
        <v>0.3</v>
      </c>
      <c r="G47" s="55">
        <v>0</v>
      </c>
      <c r="H47" s="54">
        <f t="shared" si="22"/>
        <v>0</v>
      </c>
      <c r="I47" s="54">
        <f t="shared" si="23"/>
        <v>0</v>
      </c>
      <c r="J47" s="54">
        <f t="shared" si="24"/>
        <v>0</v>
      </c>
      <c r="K47" s="56" t="s">
        <v>121</v>
      </c>
      <c r="Z47" s="54">
        <f t="shared" si="25"/>
        <v>0</v>
      </c>
      <c r="AB47" s="54">
        <f t="shared" si="26"/>
        <v>0</v>
      </c>
      <c r="AC47" s="54">
        <f t="shared" si="27"/>
        <v>0</v>
      </c>
      <c r="AD47" s="54">
        <f t="shared" si="28"/>
        <v>0</v>
      </c>
      <c r="AE47" s="54">
        <f t="shared" si="29"/>
        <v>0</v>
      </c>
      <c r="AF47" s="54">
        <f t="shared" si="30"/>
        <v>0</v>
      </c>
      <c r="AG47" s="54">
        <f t="shared" si="31"/>
        <v>0</v>
      </c>
      <c r="AH47" s="54">
        <f t="shared" si="32"/>
        <v>0</v>
      </c>
      <c r="AI47" s="34" t="s">
        <v>197</v>
      </c>
      <c r="AJ47" s="54">
        <f t="shared" si="33"/>
        <v>0</v>
      </c>
      <c r="AK47" s="54">
        <f t="shared" si="34"/>
        <v>0</v>
      </c>
      <c r="AL47" s="54">
        <f t="shared" si="35"/>
        <v>0</v>
      </c>
      <c r="AN47" s="54">
        <v>21</v>
      </c>
      <c r="AO47" s="54">
        <f>G47*0</f>
        <v>0</v>
      </c>
      <c r="AP47" s="54">
        <f>G47*(1-0)</f>
        <v>0</v>
      </c>
      <c r="AQ47" s="57" t="s">
        <v>110</v>
      </c>
      <c r="AV47" s="54">
        <f t="shared" si="36"/>
        <v>0</v>
      </c>
      <c r="AW47" s="54">
        <f t="shared" si="37"/>
        <v>0</v>
      </c>
      <c r="AX47" s="54">
        <f t="shared" si="38"/>
        <v>0</v>
      </c>
      <c r="AY47" s="57" t="s">
        <v>201</v>
      </c>
      <c r="AZ47" s="57" t="s">
        <v>202</v>
      </c>
      <c r="BA47" s="34" t="s">
        <v>203</v>
      </c>
      <c r="BC47" s="54">
        <f t="shared" si="39"/>
        <v>0</v>
      </c>
      <c r="BD47" s="54">
        <f t="shared" si="40"/>
        <v>0</v>
      </c>
      <c r="BE47" s="54">
        <v>0</v>
      </c>
      <c r="BF47" s="54">
        <f>47</f>
        <v>47</v>
      </c>
      <c r="BH47" s="54">
        <f t="shared" si="41"/>
        <v>0</v>
      </c>
      <c r="BI47" s="54">
        <f t="shared" si="42"/>
        <v>0</v>
      </c>
      <c r="BJ47" s="54">
        <f t="shared" si="43"/>
        <v>0</v>
      </c>
      <c r="BK47" s="57" t="s">
        <v>117</v>
      </c>
      <c r="BL47" s="54">
        <v>18</v>
      </c>
      <c r="BW47" s="54">
        <v>21</v>
      </c>
      <c r="BX47" s="3" t="s">
        <v>218</v>
      </c>
    </row>
    <row r="48" spans="1:76" ht="14.5" x14ac:dyDescent="0.35">
      <c r="A48" s="49" t="s">
        <v>4</v>
      </c>
      <c r="B48" s="50" t="s">
        <v>219</v>
      </c>
      <c r="C48" s="158" t="s">
        <v>220</v>
      </c>
      <c r="D48" s="159"/>
      <c r="E48" s="51" t="s">
        <v>70</v>
      </c>
      <c r="F48" s="51" t="s">
        <v>70</v>
      </c>
      <c r="G48" s="52" t="s">
        <v>70</v>
      </c>
      <c r="H48" s="28">
        <f>ROUND(SUM(H49:H50),2)</f>
        <v>0</v>
      </c>
      <c r="I48" s="28">
        <f>ROUND(SUM(I49:I50),2)</f>
        <v>0</v>
      </c>
      <c r="J48" s="28">
        <f>ROUND(SUM(J49:J50),2)</f>
        <v>0</v>
      </c>
      <c r="K48" s="53" t="s">
        <v>4</v>
      </c>
      <c r="AI48" s="34" t="s">
        <v>197</v>
      </c>
      <c r="AS48" s="28">
        <f>SUM(AJ49:AJ50)</f>
        <v>0</v>
      </c>
      <c r="AT48" s="28">
        <f>SUM(AK49:AK50)</f>
        <v>0</v>
      </c>
      <c r="AU48" s="28">
        <f>SUM(AL49:AL50)</f>
        <v>0</v>
      </c>
    </row>
    <row r="49" spans="1:76" ht="14.5" x14ac:dyDescent="0.35">
      <c r="A49" s="1" t="s">
        <v>221</v>
      </c>
      <c r="B49" s="2" t="s">
        <v>222</v>
      </c>
      <c r="C49" s="80" t="s">
        <v>223</v>
      </c>
      <c r="D49" s="75"/>
      <c r="E49" s="2" t="s">
        <v>224</v>
      </c>
      <c r="F49" s="54">
        <v>3</v>
      </c>
      <c r="G49" s="55">
        <v>0</v>
      </c>
      <c r="H49" s="54">
        <f>ROUND(F49*AO49,2)</f>
        <v>0</v>
      </c>
      <c r="I49" s="54">
        <f>ROUND(F49*AP49,2)</f>
        <v>0</v>
      </c>
      <c r="J49" s="54">
        <f>ROUND(F49*G49,2)</f>
        <v>0</v>
      </c>
      <c r="K49" s="56" t="s">
        <v>4</v>
      </c>
      <c r="Z49" s="54">
        <f>ROUND(IF(AQ49="5",BJ49,0),2)</f>
        <v>0</v>
      </c>
      <c r="AB49" s="54">
        <f>ROUND(IF(AQ49="1",BH49,0),2)</f>
        <v>0</v>
      </c>
      <c r="AC49" s="54">
        <f>ROUND(IF(AQ49="1",BI49,0),2)</f>
        <v>0</v>
      </c>
      <c r="AD49" s="54">
        <f>ROUND(IF(AQ49="7",BH49,0),2)</f>
        <v>0</v>
      </c>
      <c r="AE49" s="54">
        <f>ROUND(IF(AQ49="7",BI49,0),2)</f>
        <v>0</v>
      </c>
      <c r="AF49" s="54">
        <f>ROUND(IF(AQ49="2",BH49,0),2)</f>
        <v>0</v>
      </c>
      <c r="AG49" s="54">
        <f>ROUND(IF(AQ49="2",BI49,0),2)</f>
        <v>0</v>
      </c>
      <c r="AH49" s="54">
        <f>ROUND(IF(AQ49="0",BJ49,0),2)</f>
        <v>0</v>
      </c>
      <c r="AI49" s="34" t="s">
        <v>197</v>
      </c>
      <c r="AJ49" s="54">
        <f>IF(AN49=0,J49,0)</f>
        <v>0</v>
      </c>
      <c r="AK49" s="54">
        <f>IF(AN49=12,J49,0)</f>
        <v>0</v>
      </c>
      <c r="AL49" s="54">
        <f>IF(AN49=21,J49,0)</f>
        <v>0</v>
      </c>
      <c r="AN49" s="54">
        <v>21</v>
      </c>
      <c r="AO49" s="54">
        <f>G49*0</f>
        <v>0</v>
      </c>
      <c r="AP49" s="54">
        <f>G49*(1-0)</f>
        <v>0</v>
      </c>
      <c r="AQ49" s="57" t="s">
        <v>110</v>
      </c>
      <c r="AV49" s="54">
        <f>ROUND(AW49+AX49,2)</f>
        <v>0</v>
      </c>
      <c r="AW49" s="54">
        <f>ROUND(F49*AO49,2)</f>
        <v>0</v>
      </c>
      <c r="AX49" s="54">
        <f>ROUND(F49*AP49,2)</f>
        <v>0</v>
      </c>
      <c r="AY49" s="57" t="s">
        <v>225</v>
      </c>
      <c r="AZ49" s="57" t="s">
        <v>226</v>
      </c>
      <c r="BA49" s="34" t="s">
        <v>203</v>
      </c>
      <c r="BC49" s="54">
        <f>AW49+AX49</f>
        <v>0</v>
      </c>
      <c r="BD49" s="54">
        <f>G49/(100-BE49)*100</f>
        <v>0</v>
      </c>
      <c r="BE49" s="54">
        <v>0</v>
      </c>
      <c r="BF49" s="54">
        <f>49</f>
        <v>49</v>
      </c>
      <c r="BH49" s="54">
        <f>F49*AO49</f>
        <v>0</v>
      </c>
      <c r="BI49" s="54">
        <f>F49*AP49</f>
        <v>0</v>
      </c>
      <c r="BJ49" s="54">
        <f>F49*G49</f>
        <v>0</v>
      </c>
      <c r="BK49" s="57" t="s">
        <v>117</v>
      </c>
      <c r="BL49" s="54">
        <v>184</v>
      </c>
      <c r="BW49" s="54">
        <v>21</v>
      </c>
      <c r="BX49" s="3" t="s">
        <v>223</v>
      </c>
    </row>
    <row r="50" spans="1:76" ht="14.5" x14ac:dyDescent="0.35">
      <c r="A50" s="1" t="s">
        <v>227</v>
      </c>
      <c r="B50" s="2" t="s">
        <v>228</v>
      </c>
      <c r="C50" s="80" t="s">
        <v>229</v>
      </c>
      <c r="D50" s="75"/>
      <c r="E50" s="2" t="s">
        <v>134</v>
      </c>
      <c r="F50" s="54">
        <v>3</v>
      </c>
      <c r="G50" s="55">
        <v>0</v>
      </c>
      <c r="H50" s="54">
        <f>ROUND(F50*AO50,2)</f>
        <v>0</v>
      </c>
      <c r="I50" s="54">
        <f>ROUND(F50*AP50,2)</f>
        <v>0</v>
      </c>
      <c r="J50" s="54">
        <f>ROUND(F50*G50,2)</f>
        <v>0</v>
      </c>
      <c r="K50" s="56" t="s">
        <v>4</v>
      </c>
      <c r="Z50" s="54">
        <f>ROUND(IF(AQ50="5",BJ50,0),2)</f>
        <v>0</v>
      </c>
      <c r="AB50" s="54">
        <f>ROUND(IF(AQ50="1",BH50,0),2)</f>
        <v>0</v>
      </c>
      <c r="AC50" s="54">
        <f>ROUND(IF(AQ50="1",BI50,0),2)</f>
        <v>0</v>
      </c>
      <c r="AD50" s="54">
        <f>ROUND(IF(AQ50="7",BH50,0),2)</f>
        <v>0</v>
      </c>
      <c r="AE50" s="54">
        <f>ROUND(IF(AQ50="7",BI50,0),2)</f>
        <v>0</v>
      </c>
      <c r="AF50" s="54">
        <f>ROUND(IF(AQ50="2",BH50,0),2)</f>
        <v>0</v>
      </c>
      <c r="AG50" s="54">
        <f>ROUND(IF(AQ50="2",BI50,0),2)</f>
        <v>0</v>
      </c>
      <c r="AH50" s="54">
        <f>ROUND(IF(AQ50="0",BJ50,0),2)</f>
        <v>0</v>
      </c>
      <c r="AI50" s="34" t="s">
        <v>197</v>
      </c>
      <c r="AJ50" s="54">
        <f>IF(AN50=0,J50,0)</f>
        <v>0</v>
      </c>
      <c r="AK50" s="54">
        <f>IF(AN50=12,J50,0)</f>
        <v>0</v>
      </c>
      <c r="AL50" s="54">
        <f>IF(AN50=21,J50,0)</f>
        <v>0</v>
      </c>
      <c r="AN50" s="54">
        <v>21</v>
      </c>
      <c r="AO50" s="54">
        <f>G50*0</f>
        <v>0</v>
      </c>
      <c r="AP50" s="54">
        <f>G50*(1-0)</f>
        <v>0</v>
      </c>
      <c r="AQ50" s="57" t="s">
        <v>110</v>
      </c>
      <c r="AV50" s="54">
        <f>ROUND(AW50+AX50,2)</f>
        <v>0</v>
      </c>
      <c r="AW50" s="54">
        <f>ROUND(F50*AO50,2)</f>
        <v>0</v>
      </c>
      <c r="AX50" s="54">
        <f>ROUND(F50*AP50,2)</f>
        <v>0</v>
      </c>
      <c r="AY50" s="57" t="s">
        <v>225</v>
      </c>
      <c r="AZ50" s="57" t="s">
        <v>226</v>
      </c>
      <c r="BA50" s="34" t="s">
        <v>203</v>
      </c>
      <c r="BC50" s="54">
        <f>AW50+AX50</f>
        <v>0</v>
      </c>
      <c r="BD50" s="54">
        <f>G50/(100-BE50)*100</f>
        <v>0</v>
      </c>
      <c r="BE50" s="54">
        <v>0</v>
      </c>
      <c r="BF50" s="54">
        <f>50</f>
        <v>50</v>
      </c>
      <c r="BH50" s="54">
        <f>F50*AO50</f>
        <v>0</v>
      </c>
      <c r="BI50" s="54">
        <f>F50*AP50</f>
        <v>0</v>
      </c>
      <c r="BJ50" s="54">
        <f>F50*G50</f>
        <v>0</v>
      </c>
      <c r="BK50" s="57" t="s">
        <v>117</v>
      </c>
      <c r="BL50" s="54">
        <v>184</v>
      </c>
      <c r="BW50" s="54">
        <v>21</v>
      </c>
      <c r="BX50" s="3" t="s">
        <v>229</v>
      </c>
    </row>
    <row r="51" spans="1:76" ht="14.5" x14ac:dyDescent="0.35">
      <c r="A51" s="49" t="s">
        <v>4</v>
      </c>
      <c r="B51" s="50" t="s">
        <v>161</v>
      </c>
      <c r="C51" s="158" t="s">
        <v>162</v>
      </c>
      <c r="D51" s="159"/>
      <c r="E51" s="51" t="s">
        <v>70</v>
      </c>
      <c r="F51" s="51" t="s">
        <v>70</v>
      </c>
      <c r="G51" s="52" t="s">
        <v>70</v>
      </c>
      <c r="H51" s="28">
        <f>ROUND(SUM(H52:H52),2)</f>
        <v>0</v>
      </c>
      <c r="I51" s="28">
        <f>ROUND(SUM(I52:I52),2)</f>
        <v>0</v>
      </c>
      <c r="J51" s="28">
        <f>ROUND(SUM(J52:J52),2)</f>
        <v>0</v>
      </c>
      <c r="K51" s="53" t="s">
        <v>4</v>
      </c>
      <c r="AI51" s="34" t="s">
        <v>197</v>
      </c>
      <c r="AS51" s="28">
        <f>SUM(AJ52:AJ52)</f>
        <v>0</v>
      </c>
      <c r="AT51" s="28">
        <f>SUM(AK52:AK52)</f>
        <v>0</v>
      </c>
      <c r="AU51" s="28">
        <f>SUM(AL52:AL52)</f>
        <v>0</v>
      </c>
    </row>
    <row r="52" spans="1:76" ht="14.5" x14ac:dyDescent="0.35">
      <c r="A52" s="1" t="s">
        <v>230</v>
      </c>
      <c r="B52" s="2" t="s">
        <v>164</v>
      </c>
      <c r="C52" s="80" t="s">
        <v>165</v>
      </c>
      <c r="D52" s="75"/>
      <c r="E52" s="2" t="s">
        <v>166</v>
      </c>
      <c r="F52" s="54">
        <v>0.4</v>
      </c>
      <c r="G52" s="55">
        <v>0</v>
      </c>
      <c r="H52" s="54">
        <f>ROUND(F52*AO52,2)</f>
        <v>0</v>
      </c>
      <c r="I52" s="54">
        <f>ROUND(F52*AP52,2)</f>
        <v>0</v>
      </c>
      <c r="J52" s="54">
        <f>ROUND(F52*G52,2)</f>
        <v>0</v>
      </c>
      <c r="K52" s="56" t="s">
        <v>121</v>
      </c>
      <c r="Z52" s="54">
        <f>ROUND(IF(AQ52="5",BJ52,0),2)</f>
        <v>0</v>
      </c>
      <c r="AB52" s="54">
        <f>ROUND(IF(AQ52="1",BH52,0),2)</f>
        <v>0</v>
      </c>
      <c r="AC52" s="54">
        <f>ROUND(IF(AQ52="1",BI52,0),2)</f>
        <v>0</v>
      </c>
      <c r="AD52" s="54">
        <f>ROUND(IF(AQ52="7",BH52,0),2)</f>
        <v>0</v>
      </c>
      <c r="AE52" s="54">
        <f>ROUND(IF(AQ52="7",BI52,0),2)</f>
        <v>0</v>
      </c>
      <c r="AF52" s="54">
        <f>ROUND(IF(AQ52="2",BH52,0),2)</f>
        <v>0</v>
      </c>
      <c r="AG52" s="54">
        <f>ROUND(IF(AQ52="2",BI52,0),2)</f>
        <v>0</v>
      </c>
      <c r="AH52" s="54">
        <f>ROUND(IF(AQ52="0",BJ52,0),2)</f>
        <v>0</v>
      </c>
      <c r="AI52" s="34" t="s">
        <v>197</v>
      </c>
      <c r="AJ52" s="54">
        <f>IF(AN52=0,J52,0)</f>
        <v>0</v>
      </c>
      <c r="AK52" s="54">
        <f>IF(AN52=12,J52,0)</f>
        <v>0</v>
      </c>
      <c r="AL52" s="54">
        <f>IF(AN52=21,J52,0)</f>
        <v>0</v>
      </c>
      <c r="AN52" s="54">
        <v>21</v>
      </c>
      <c r="AO52" s="54">
        <f>G52*0</f>
        <v>0</v>
      </c>
      <c r="AP52" s="54">
        <f>G52*(1-0)</f>
        <v>0</v>
      </c>
      <c r="AQ52" s="57" t="s">
        <v>128</v>
      </c>
      <c r="AV52" s="54">
        <f>ROUND(AW52+AX52,2)</f>
        <v>0</v>
      </c>
      <c r="AW52" s="54">
        <f>ROUND(F52*AO52,2)</f>
        <v>0</v>
      </c>
      <c r="AX52" s="54">
        <f>ROUND(F52*AP52,2)</f>
        <v>0</v>
      </c>
      <c r="AY52" s="57" t="s">
        <v>167</v>
      </c>
      <c r="AZ52" s="57" t="s">
        <v>231</v>
      </c>
      <c r="BA52" s="34" t="s">
        <v>203</v>
      </c>
      <c r="BC52" s="54">
        <f>AW52+AX52</f>
        <v>0</v>
      </c>
      <c r="BD52" s="54">
        <f>G52/(100-BE52)*100</f>
        <v>0</v>
      </c>
      <c r="BE52" s="54">
        <v>0</v>
      </c>
      <c r="BF52" s="54">
        <f>52</f>
        <v>52</v>
      </c>
      <c r="BH52" s="54">
        <f>F52*AO52</f>
        <v>0</v>
      </c>
      <c r="BI52" s="54">
        <f>F52*AP52</f>
        <v>0</v>
      </c>
      <c r="BJ52" s="54">
        <f>F52*G52</f>
        <v>0</v>
      </c>
      <c r="BK52" s="57" t="s">
        <v>117</v>
      </c>
      <c r="BL52" s="54"/>
      <c r="BW52" s="54">
        <v>21</v>
      </c>
      <c r="BX52" s="3" t="s">
        <v>165</v>
      </c>
    </row>
    <row r="53" spans="1:76" ht="14.5" x14ac:dyDescent="0.35">
      <c r="A53" s="49" t="s">
        <v>4</v>
      </c>
      <c r="B53" s="50" t="s">
        <v>180</v>
      </c>
      <c r="C53" s="158" t="s">
        <v>34</v>
      </c>
      <c r="D53" s="159"/>
      <c r="E53" s="51" t="s">
        <v>70</v>
      </c>
      <c r="F53" s="51" t="s">
        <v>70</v>
      </c>
      <c r="G53" s="52" t="s">
        <v>70</v>
      </c>
      <c r="H53" s="28">
        <f>ROUND(SUM(H54:H61),2)</f>
        <v>0</v>
      </c>
      <c r="I53" s="28">
        <f>ROUND(SUM(I54:I61),2)</f>
        <v>0</v>
      </c>
      <c r="J53" s="28">
        <f>ROUND(SUM(J54:J61),2)</f>
        <v>0</v>
      </c>
      <c r="K53" s="53" t="s">
        <v>4</v>
      </c>
      <c r="AI53" s="34" t="s">
        <v>197</v>
      </c>
      <c r="AS53" s="28">
        <f>SUM(AJ54:AJ61)</f>
        <v>0</v>
      </c>
      <c r="AT53" s="28">
        <f>SUM(AK54:AK61)</f>
        <v>0</v>
      </c>
      <c r="AU53" s="28">
        <f>SUM(AL54:AL61)</f>
        <v>0</v>
      </c>
    </row>
    <row r="54" spans="1:76" ht="14.5" x14ac:dyDescent="0.35">
      <c r="A54" s="1" t="s">
        <v>232</v>
      </c>
      <c r="B54" s="2" t="s">
        <v>233</v>
      </c>
      <c r="C54" s="80" t="s">
        <v>234</v>
      </c>
      <c r="D54" s="75"/>
      <c r="E54" s="2" t="s">
        <v>224</v>
      </c>
      <c r="F54" s="54">
        <v>36</v>
      </c>
      <c r="G54" s="55">
        <v>0</v>
      </c>
      <c r="H54" s="54">
        <f t="shared" ref="H54:H61" si="44">ROUND(F54*AO54,2)</f>
        <v>0</v>
      </c>
      <c r="I54" s="54">
        <f t="shared" ref="I54:I61" si="45">ROUND(F54*AP54,2)</f>
        <v>0</v>
      </c>
      <c r="J54" s="54">
        <f t="shared" ref="J54:J61" si="46">ROUND(F54*G54,2)</f>
        <v>0</v>
      </c>
      <c r="K54" s="56" t="s">
        <v>4</v>
      </c>
      <c r="Z54" s="54">
        <f t="shared" ref="Z54:Z61" si="47">ROUND(IF(AQ54="5",BJ54,0),2)</f>
        <v>0</v>
      </c>
      <c r="AB54" s="54">
        <f t="shared" ref="AB54:AB61" si="48">ROUND(IF(AQ54="1",BH54,0),2)</f>
        <v>0</v>
      </c>
      <c r="AC54" s="54">
        <f t="shared" ref="AC54:AC61" si="49">ROUND(IF(AQ54="1",BI54,0),2)</f>
        <v>0</v>
      </c>
      <c r="AD54" s="54">
        <f t="shared" ref="AD54:AD61" si="50">ROUND(IF(AQ54="7",BH54,0),2)</f>
        <v>0</v>
      </c>
      <c r="AE54" s="54">
        <f t="shared" ref="AE54:AE61" si="51">ROUND(IF(AQ54="7",BI54,0),2)</f>
        <v>0</v>
      </c>
      <c r="AF54" s="54">
        <f t="shared" ref="AF54:AF61" si="52">ROUND(IF(AQ54="2",BH54,0),2)</f>
        <v>0</v>
      </c>
      <c r="AG54" s="54">
        <f t="shared" ref="AG54:AG61" si="53">ROUND(IF(AQ54="2",BI54,0),2)</f>
        <v>0</v>
      </c>
      <c r="AH54" s="54">
        <f t="shared" ref="AH54:AH61" si="54">ROUND(IF(AQ54="0",BJ54,0),2)</f>
        <v>0</v>
      </c>
      <c r="AI54" s="34" t="s">
        <v>197</v>
      </c>
      <c r="AJ54" s="54">
        <f t="shared" ref="AJ54:AJ61" si="55">IF(AN54=0,J54,0)</f>
        <v>0</v>
      </c>
      <c r="AK54" s="54">
        <f t="shared" ref="AK54:AK61" si="56">IF(AN54=12,J54,0)</f>
        <v>0</v>
      </c>
      <c r="AL54" s="54">
        <f t="shared" ref="AL54:AL61" si="57">IF(AN54=21,J54,0)</f>
        <v>0</v>
      </c>
      <c r="AN54" s="54">
        <v>21</v>
      </c>
      <c r="AO54" s="54">
        <f t="shared" ref="AO54:AO61" si="58">G54*1</f>
        <v>0</v>
      </c>
      <c r="AP54" s="54">
        <f t="shared" ref="AP54:AP61" si="59">G54*(1-1)</f>
        <v>0</v>
      </c>
      <c r="AQ54" s="57" t="s">
        <v>184</v>
      </c>
      <c r="AV54" s="54">
        <f t="shared" ref="AV54:AV61" si="60">ROUND(AW54+AX54,2)</f>
        <v>0</v>
      </c>
      <c r="AW54" s="54">
        <f t="shared" ref="AW54:AW61" si="61">ROUND(F54*AO54,2)</f>
        <v>0</v>
      </c>
      <c r="AX54" s="54">
        <f t="shared" ref="AX54:AX61" si="62">ROUND(F54*AP54,2)</f>
        <v>0</v>
      </c>
      <c r="AY54" s="57" t="s">
        <v>185</v>
      </c>
      <c r="AZ54" s="57" t="s">
        <v>235</v>
      </c>
      <c r="BA54" s="34" t="s">
        <v>203</v>
      </c>
      <c r="BC54" s="54">
        <f t="shared" ref="BC54:BC61" si="63">AW54+AX54</f>
        <v>0</v>
      </c>
      <c r="BD54" s="54">
        <f t="shared" ref="BD54:BD61" si="64">G54/(100-BE54)*100</f>
        <v>0</v>
      </c>
      <c r="BE54" s="54">
        <v>0</v>
      </c>
      <c r="BF54" s="54">
        <f>54</f>
        <v>54</v>
      </c>
      <c r="BH54" s="54">
        <f t="shared" ref="BH54:BH61" si="65">F54*AO54</f>
        <v>0</v>
      </c>
      <c r="BI54" s="54">
        <f t="shared" ref="BI54:BI61" si="66">F54*AP54</f>
        <v>0</v>
      </c>
      <c r="BJ54" s="54">
        <f t="shared" ref="BJ54:BJ61" si="67">F54*G54</f>
        <v>0</v>
      </c>
      <c r="BK54" s="57" t="s">
        <v>180</v>
      </c>
      <c r="BL54" s="54"/>
      <c r="BW54" s="54">
        <v>21</v>
      </c>
      <c r="BX54" s="3" t="s">
        <v>234</v>
      </c>
    </row>
    <row r="55" spans="1:76" ht="14.5" x14ac:dyDescent="0.35">
      <c r="A55" s="1" t="s">
        <v>236</v>
      </c>
      <c r="B55" s="2" t="s">
        <v>237</v>
      </c>
      <c r="C55" s="80" t="s">
        <v>238</v>
      </c>
      <c r="D55" s="75"/>
      <c r="E55" s="2" t="s">
        <v>239</v>
      </c>
      <c r="F55" s="54">
        <v>1.5</v>
      </c>
      <c r="G55" s="55">
        <v>0</v>
      </c>
      <c r="H55" s="54">
        <f t="shared" si="44"/>
        <v>0</v>
      </c>
      <c r="I55" s="54">
        <f t="shared" si="45"/>
        <v>0</v>
      </c>
      <c r="J55" s="54">
        <f t="shared" si="46"/>
        <v>0</v>
      </c>
      <c r="K55" s="56" t="s">
        <v>4</v>
      </c>
      <c r="Z55" s="54">
        <f t="shared" si="47"/>
        <v>0</v>
      </c>
      <c r="AB55" s="54">
        <f t="shared" si="48"/>
        <v>0</v>
      </c>
      <c r="AC55" s="54">
        <f t="shared" si="49"/>
        <v>0</v>
      </c>
      <c r="AD55" s="54">
        <f t="shared" si="50"/>
        <v>0</v>
      </c>
      <c r="AE55" s="54">
        <f t="shared" si="51"/>
        <v>0</v>
      </c>
      <c r="AF55" s="54">
        <f t="shared" si="52"/>
        <v>0</v>
      </c>
      <c r="AG55" s="54">
        <f t="shared" si="53"/>
        <v>0</v>
      </c>
      <c r="AH55" s="54">
        <f t="shared" si="54"/>
        <v>0</v>
      </c>
      <c r="AI55" s="34" t="s">
        <v>197</v>
      </c>
      <c r="AJ55" s="54">
        <f t="shared" si="55"/>
        <v>0</v>
      </c>
      <c r="AK55" s="54">
        <f t="shared" si="56"/>
        <v>0</v>
      </c>
      <c r="AL55" s="54">
        <f t="shared" si="57"/>
        <v>0</v>
      </c>
      <c r="AN55" s="54">
        <v>21</v>
      </c>
      <c r="AO55" s="54">
        <f t="shared" si="58"/>
        <v>0</v>
      </c>
      <c r="AP55" s="54">
        <f t="shared" si="59"/>
        <v>0</v>
      </c>
      <c r="AQ55" s="57" t="s">
        <v>184</v>
      </c>
      <c r="AV55" s="54">
        <f t="shared" si="60"/>
        <v>0</v>
      </c>
      <c r="AW55" s="54">
        <f t="shared" si="61"/>
        <v>0</v>
      </c>
      <c r="AX55" s="54">
        <f t="shared" si="62"/>
        <v>0</v>
      </c>
      <c r="AY55" s="57" t="s">
        <v>185</v>
      </c>
      <c r="AZ55" s="57" t="s">
        <v>235</v>
      </c>
      <c r="BA55" s="34" t="s">
        <v>203</v>
      </c>
      <c r="BC55" s="54">
        <f t="shared" si="63"/>
        <v>0</v>
      </c>
      <c r="BD55" s="54">
        <f t="shared" si="64"/>
        <v>0</v>
      </c>
      <c r="BE55" s="54">
        <v>0</v>
      </c>
      <c r="BF55" s="54">
        <f>55</f>
        <v>55</v>
      </c>
      <c r="BH55" s="54">
        <f t="shared" si="65"/>
        <v>0</v>
      </c>
      <c r="BI55" s="54">
        <f t="shared" si="66"/>
        <v>0</v>
      </c>
      <c r="BJ55" s="54">
        <f t="shared" si="67"/>
        <v>0</v>
      </c>
      <c r="BK55" s="57" t="s">
        <v>180</v>
      </c>
      <c r="BL55" s="54"/>
      <c r="BW55" s="54">
        <v>21</v>
      </c>
      <c r="BX55" s="3" t="s">
        <v>238</v>
      </c>
    </row>
    <row r="56" spans="1:76" ht="14.5" x14ac:dyDescent="0.35">
      <c r="A56" s="1" t="s">
        <v>240</v>
      </c>
      <c r="B56" s="2" t="s">
        <v>241</v>
      </c>
      <c r="C56" s="80" t="s">
        <v>242</v>
      </c>
      <c r="D56" s="75"/>
      <c r="E56" s="2" t="s">
        <v>224</v>
      </c>
      <c r="F56" s="54">
        <v>9</v>
      </c>
      <c r="G56" s="55">
        <v>0</v>
      </c>
      <c r="H56" s="54">
        <f t="shared" si="44"/>
        <v>0</v>
      </c>
      <c r="I56" s="54">
        <f t="shared" si="45"/>
        <v>0</v>
      </c>
      <c r="J56" s="54">
        <f t="shared" si="46"/>
        <v>0</v>
      </c>
      <c r="K56" s="56" t="s">
        <v>4</v>
      </c>
      <c r="Z56" s="54">
        <f t="shared" si="47"/>
        <v>0</v>
      </c>
      <c r="AB56" s="54">
        <f t="shared" si="48"/>
        <v>0</v>
      </c>
      <c r="AC56" s="54">
        <f t="shared" si="49"/>
        <v>0</v>
      </c>
      <c r="AD56" s="54">
        <f t="shared" si="50"/>
        <v>0</v>
      </c>
      <c r="AE56" s="54">
        <f t="shared" si="51"/>
        <v>0</v>
      </c>
      <c r="AF56" s="54">
        <f t="shared" si="52"/>
        <v>0</v>
      </c>
      <c r="AG56" s="54">
        <f t="shared" si="53"/>
        <v>0</v>
      </c>
      <c r="AH56" s="54">
        <f t="shared" si="54"/>
        <v>0</v>
      </c>
      <c r="AI56" s="34" t="s">
        <v>197</v>
      </c>
      <c r="AJ56" s="54">
        <f t="shared" si="55"/>
        <v>0</v>
      </c>
      <c r="AK56" s="54">
        <f t="shared" si="56"/>
        <v>0</v>
      </c>
      <c r="AL56" s="54">
        <f t="shared" si="57"/>
        <v>0</v>
      </c>
      <c r="AN56" s="54">
        <v>21</v>
      </c>
      <c r="AO56" s="54">
        <f t="shared" si="58"/>
        <v>0</v>
      </c>
      <c r="AP56" s="54">
        <f t="shared" si="59"/>
        <v>0</v>
      </c>
      <c r="AQ56" s="57" t="s">
        <v>184</v>
      </c>
      <c r="AV56" s="54">
        <f t="shared" si="60"/>
        <v>0</v>
      </c>
      <c r="AW56" s="54">
        <f t="shared" si="61"/>
        <v>0</v>
      </c>
      <c r="AX56" s="54">
        <f t="shared" si="62"/>
        <v>0</v>
      </c>
      <c r="AY56" s="57" t="s">
        <v>185</v>
      </c>
      <c r="AZ56" s="57" t="s">
        <v>235</v>
      </c>
      <c r="BA56" s="34" t="s">
        <v>203</v>
      </c>
      <c r="BC56" s="54">
        <f t="shared" si="63"/>
        <v>0</v>
      </c>
      <c r="BD56" s="54">
        <f t="shared" si="64"/>
        <v>0</v>
      </c>
      <c r="BE56" s="54">
        <v>0</v>
      </c>
      <c r="BF56" s="54">
        <f>56</f>
        <v>56</v>
      </c>
      <c r="BH56" s="54">
        <f t="shared" si="65"/>
        <v>0</v>
      </c>
      <c r="BI56" s="54">
        <f t="shared" si="66"/>
        <v>0</v>
      </c>
      <c r="BJ56" s="54">
        <f t="shared" si="67"/>
        <v>0</v>
      </c>
      <c r="BK56" s="57" t="s">
        <v>180</v>
      </c>
      <c r="BL56" s="54"/>
      <c r="BW56" s="54">
        <v>21</v>
      </c>
      <c r="BX56" s="3" t="s">
        <v>242</v>
      </c>
    </row>
    <row r="57" spans="1:76" ht="14.5" x14ac:dyDescent="0.35">
      <c r="A57" s="1" t="s">
        <v>243</v>
      </c>
      <c r="B57" s="2" t="s">
        <v>244</v>
      </c>
      <c r="C57" s="80" t="s">
        <v>245</v>
      </c>
      <c r="D57" s="75"/>
      <c r="E57" s="2" t="s">
        <v>134</v>
      </c>
      <c r="F57" s="54">
        <v>9</v>
      </c>
      <c r="G57" s="55">
        <v>0</v>
      </c>
      <c r="H57" s="54">
        <f t="shared" si="44"/>
        <v>0</v>
      </c>
      <c r="I57" s="54">
        <f t="shared" si="45"/>
        <v>0</v>
      </c>
      <c r="J57" s="54">
        <f t="shared" si="46"/>
        <v>0</v>
      </c>
      <c r="K57" s="56" t="s">
        <v>4</v>
      </c>
      <c r="Z57" s="54">
        <f t="shared" si="47"/>
        <v>0</v>
      </c>
      <c r="AB57" s="54">
        <f t="shared" si="48"/>
        <v>0</v>
      </c>
      <c r="AC57" s="54">
        <f t="shared" si="49"/>
        <v>0</v>
      </c>
      <c r="AD57" s="54">
        <f t="shared" si="50"/>
        <v>0</v>
      </c>
      <c r="AE57" s="54">
        <f t="shared" si="51"/>
        <v>0</v>
      </c>
      <c r="AF57" s="54">
        <f t="shared" si="52"/>
        <v>0</v>
      </c>
      <c r="AG57" s="54">
        <f t="shared" si="53"/>
        <v>0</v>
      </c>
      <c r="AH57" s="54">
        <f t="shared" si="54"/>
        <v>0</v>
      </c>
      <c r="AI57" s="34" t="s">
        <v>197</v>
      </c>
      <c r="AJ57" s="54">
        <f t="shared" si="55"/>
        <v>0</v>
      </c>
      <c r="AK57" s="54">
        <f t="shared" si="56"/>
        <v>0</v>
      </c>
      <c r="AL57" s="54">
        <f t="shared" si="57"/>
        <v>0</v>
      </c>
      <c r="AN57" s="54">
        <v>21</v>
      </c>
      <c r="AO57" s="54">
        <f t="shared" si="58"/>
        <v>0</v>
      </c>
      <c r="AP57" s="54">
        <f t="shared" si="59"/>
        <v>0</v>
      </c>
      <c r="AQ57" s="57" t="s">
        <v>184</v>
      </c>
      <c r="AV57" s="54">
        <f t="shared" si="60"/>
        <v>0</v>
      </c>
      <c r="AW57" s="54">
        <f t="shared" si="61"/>
        <v>0</v>
      </c>
      <c r="AX57" s="54">
        <f t="shared" si="62"/>
        <v>0</v>
      </c>
      <c r="AY57" s="57" t="s">
        <v>185</v>
      </c>
      <c r="AZ57" s="57" t="s">
        <v>235</v>
      </c>
      <c r="BA57" s="34" t="s">
        <v>203</v>
      </c>
      <c r="BC57" s="54">
        <f t="shared" si="63"/>
        <v>0</v>
      </c>
      <c r="BD57" s="54">
        <f t="shared" si="64"/>
        <v>0</v>
      </c>
      <c r="BE57" s="54">
        <v>0</v>
      </c>
      <c r="BF57" s="54">
        <f>57</f>
        <v>57</v>
      </c>
      <c r="BH57" s="54">
        <f t="shared" si="65"/>
        <v>0</v>
      </c>
      <c r="BI57" s="54">
        <f t="shared" si="66"/>
        <v>0</v>
      </c>
      <c r="BJ57" s="54">
        <f t="shared" si="67"/>
        <v>0</v>
      </c>
      <c r="BK57" s="57" t="s">
        <v>180</v>
      </c>
      <c r="BL57" s="54"/>
      <c r="BW57" s="54">
        <v>21</v>
      </c>
      <c r="BX57" s="3" t="s">
        <v>245</v>
      </c>
    </row>
    <row r="58" spans="1:76" ht="14.5" x14ac:dyDescent="0.35">
      <c r="A58" s="1" t="s">
        <v>246</v>
      </c>
      <c r="B58" s="2" t="s">
        <v>247</v>
      </c>
      <c r="C58" s="80" t="s">
        <v>248</v>
      </c>
      <c r="D58" s="75"/>
      <c r="E58" s="2" t="s">
        <v>174</v>
      </c>
      <c r="F58" s="54">
        <v>0.3</v>
      </c>
      <c r="G58" s="55">
        <v>0</v>
      </c>
      <c r="H58" s="54">
        <f t="shared" si="44"/>
        <v>0</v>
      </c>
      <c r="I58" s="54">
        <f t="shared" si="45"/>
        <v>0</v>
      </c>
      <c r="J58" s="54">
        <f t="shared" si="46"/>
        <v>0</v>
      </c>
      <c r="K58" s="56" t="s">
        <v>121</v>
      </c>
      <c r="Z58" s="54">
        <f t="shared" si="47"/>
        <v>0</v>
      </c>
      <c r="AB58" s="54">
        <f t="shared" si="48"/>
        <v>0</v>
      </c>
      <c r="AC58" s="54">
        <f t="shared" si="49"/>
        <v>0</v>
      </c>
      <c r="AD58" s="54">
        <f t="shared" si="50"/>
        <v>0</v>
      </c>
      <c r="AE58" s="54">
        <f t="shared" si="51"/>
        <v>0</v>
      </c>
      <c r="AF58" s="54">
        <f t="shared" si="52"/>
        <v>0</v>
      </c>
      <c r="AG58" s="54">
        <f t="shared" si="53"/>
        <v>0</v>
      </c>
      <c r="AH58" s="54">
        <f t="shared" si="54"/>
        <v>0</v>
      </c>
      <c r="AI58" s="34" t="s">
        <v>197</v>
      </c>
      <c r="AJ58" s="54">
        <f t="shared" si="55"/>
        <v>0</v>
      </c>
      <c r="AK58" s="54">
        <f t="shared" si="56"/>
        <v>0</v>
      </c>
      <c r="AL58" s="54">
        <f t="shared" si="57"/>
        <v>0</v>
      </c>
      <c r="AN58" s="54">
        <v>21</v>
      </c>
      <c r="AO58" s="54">
        <f t="shared" si="58"/>
        <v>0</v>
      </c>
      <c r="AP58" s="54">
        <f t="shared" si="59"/>
        <v>0</v>
      </c>
      <c r="AQ58" s="57" t="s">
        <v>184</v>
      </c>
      <c r="AV58" s="54">
        <f t="shared" si="60"/>
        <v>0</v>
      </c>
      <c r="AW58" s="54">
        <f t="shared" si="61"/>
        <v>0</v>
      </c>
      <c r="AX58" s="54">
        <f t="shared" si="62"/>
        <v>0</v>
      </c>
      <c r="AY58" s="57" t="s">
        <v>185</v>
      </c>
      <c r="AZ58" s="57" t="s">
        <v>235</v>
      </c>
      <c r="BA58" s="34" t="s">
        <v>203</v>
      </c>
      <c r="BC58" s="54">
        <f t="shared" si="63"/>
        <v>0</v>
      </c>
      <c r="BD58" s="54">
        <f t="shared" si="64"/>
        <v>0</v>
      </c>
      <c r="BE58" s="54">
        <v>0</v>
      </c>
      <c r="BF58" s="54">
        <f>58</f>
        <v>58</v>
      </c>
      <c r="BH58" s="54">
        <f t="shared" si="65"/>
        <v>0</v>
      </c>
      <c r="BI58" s="54">
        <f t="shared" si="66"/>
        <v>0</v>
      </c>
      <c r="BJ58" s="54">
        <f t="shared" si="67"/>
        <v>0</v>
      </c>
      <c r="BK58" s="57" t="s">
        <v>180</v>
      </c>
      <c r="BL58" s="54"/>
      <c r="BW58" s="54">
        <v>21</v>
      </c>
      <c r="BX58" s="3" t="s">
        <v>248</v>
      </c>
    </row>
    <row r="59" spans="1:76" ht="14.5" x14ac:dyDescent="0.35">
      <c r="A59" s="1" t="s">
        <v>249</v>
      </c>
      <c r="B59" s="2" t="s">
        <v>250</v>
      </c>
      <c r="C59" s="80" t="s">
        <v>251</v>
      </c>
      <c r="D59" s="75"/>
      <c r="E59" s="2" t="s">
        <v>174</v>
      </c>
      <c r="F59" s="54">
        <v>0.3</v>
      </c>
      <c r="G59" s="55">
        <v>0</v>
      </c>
      <c r="H59" s="54">
        <f t="shared" si="44"/>
        <v>0</v>
      </c>
      <c r="I59" s="54">
        <f t="shared" si="45"/>
        <v>0</v>
      </c>
      <c r="J59" s="54">
        <f t="shared" si="46"/>
        <v>0</v>
      </c>
      <c r="K59" s="56" t="s">
        <v>121</v>
      </c>
      <c r="Z59" s="54">
        <f t="shared" si="47"/>
        <v>0</v>
      </c>
      <c r="AB59" s="54">
        <f t="shared" si="48"/>
        <v>0</v>
      </c>
      <c r="AC59" s="54">
        <f t="shared" si="49"/>
        <v>0</v>
      </c>
      <c r="AD59" s="54">
        <f t="shared" si="50"/>
        <v>0</v>
      </c>
      <c r="AE59" s="54">
        <f t="shared" si="51"/>
        <v>0</v>
      </c>
      <c r="AF59" s="54">
        <f t="shared" si="52"/>
        <v>0</v>
      </c>
      <c r="AG59" s="54">
        <f t="shared" si="53"/>
        <v>0</v>
      </c>
      <c r="AH59" s="54">
        <f t="shared" si="54"/>
        <v>0</v>
      </c>
      <c r="AI59" s="34" t="s">
        <v>197</v>
      </c>
      <c r="AJ59" s="54">
        <f t="shared" si="55"/>
        <v>0</v>
      </c>
      <c r="AK59" s="54">
        <f t="shared" si="56"/>
        <v>0</v>
      </c>
      <c r="AL59" s="54">
        <f t="shared" si="57"/>
        <v>0</v>
      </c>
      <c r="AN59" s="54">
        <v>21</v>
      </c>
      <c r="AO59" s="54">
        <f t="shared" si="58"/>
        <v>0</v>
      </c>
      <c r="AP59" s="54">
        <f t="shared" si="59"/>
        <v>0</v>
      </c>
      <c r="AQ59" s="57" t="s">
        <v>184</v>
      </c>
      <c r="AV59" s="54">
        <f t="shared" si="60"/>
        <v>0</v>
      </c>
      <c r="AW59" s="54">
        <f t="shared" si="61"/>
        <v>0</v>
      </c>
      <c r="AX59" s="54">
        <f t="shared" si="62"/>
        <v>0</v>
      </c>
      <c r="AY59" s="57" t="s">
        <v>185</v>
      </c>
      <c r="AZ59" s="57" t="s">
        <v>235</v>
      </c>
      <c r="BA59" s="34" t="s">
        <v>203</v>
      </c>
      <c r="BC59" s="54">
        <f t="shared" si="63"/>
        <v>0</v>
      </c>
      <c r="BD59" s="54">
        <f t="shared" si="64"/>
        <v>0</v>
      </c>
      <c r="BE59" s="54">
        <v>0</v>
      </c>
      <c r="BF59" s="54">
        <f>59</f>
        <v>59</v>
      </c>
      <c r="BH59" s="54">
        <f t="shared" si="65"/>
        <v>0</v>
      </c>
      <c r="BI59" s="54">
        <f t="shared" si="66"/>
        <v>0</v>
      </c>
      <c r="BJ59" s="54">
        <f t="shared" si="67"/>
        <v>0</v>
      </c>
      <c r="BK59" s="57" t="s">
        <v>180</v>
      </c>
      <c r="BL59" s="54"/>
      <c r="BW59" s="54">
        <v>21</v>
      </c>
      <c r="BX59" s="3" t="s">
        <v>251</v>
      </c>
    </row>
    <row r="60" spans="1:76" ht="14.5" x14ac:dyDescent="0.35">
      <c r="A60" s="1" t="s">
        <v>252</v>
      </c>
      <c r="B60" s="2" t="s">
        <v>253</v>
      </c>
      <c r="C60" s="80" t="s">
        <v>254</v>
      </c>
      <c r="D60" s="75"/>
      <c r="E60" s="2" t="s">
        <v>224</v>
      </c>
      <c r="F60" s="54">
        <v>1</v>
      </c>
      <c r="G60" s="55">
        <v>0</v>
      </c>
      <c r="H60" s="54">
        <f t="shared" si="44"/>
        <v>0</v>
      </c>
      <c r="I60" s="54">
        <f t="shared" si="45"/>
        <v>0</v>
      </c>
      <c r="J60" s="54">
        <f t="shared" si="46"/>
        <v>0</v>
      </c>
      <c r="K60" s="56" t="s">
        <v>4</v>
      </c>
      <c r="Z60" s="54">
        <f t="shared" si="47"/>
        <v>0</v>
      </c>
      <c r="AB60" s="54">
        <f t="shared" si="48"/>
        <v>0</v>
      </c>
      <c r="AC60" s="54">
        <f t="shared" si="49"/>
        <v>0</v>
      </c>
      <c r="AD60" s="54">
        <f t="shared" si="50"/>
        <v>0</v>
      </c>
      <c r="AE60" s="54">
        <f t="shared" si="51"/>
        <v>0</v>
      </c>
      <c r="AF60" s="54">
        <f t="shared" si="52"/>
        <v>0</v>
      </c>
      <c r="AG60" s="54">
        <f t="shared" si="53"/>
        <v>0</v>
      </c>
      <c r="AH60" s="54">
        <f t="shared" si="54"/>
        <v>0</v>
      </c>
      <c r="AI60" s="34" t="s">
        <v>197</v>
      </c>
      <c r="AJ60" s="54">
        <f t="shared" si="55"/>
        <v>0</v>
      </c>
      <c r="AK60" s="54">
        <f t="shared" si="56"/>
        <v>0</v>
      </c>
      <c r="AL60" s="54">
        <f t="shared" si="57"/>
        <v>0</v>
      </c>
      <c r="AN60" s="54">
        <v>21</v>
      </c>
      <c r="AO60" s="54">
        <f t="shared" si="58"/>
        <v>0</v>
      </c>
      <c r="AP60" s="54">
        <f t="shared" si="59"/>
        <v>0</v>
      </c>
      <c r="AQ60" s="57" t="s">
        <v>184</v>
      </c>
      <c r="AV60" s="54">
        <f t="shared" si="60"/>
        <v>0</v>
      </c>
      <c r="AW60" s="54">
        <f t="shared" si="61"/>
        <v>0</v>
      </c>
      <c r="AX60" s="54">
        <f t="shared" si="62"/>
        <v>0</v>
      </c>
      <c r="AY60" s="57" t="s">
        <v>185</v>
      </c>
      <c r="AZ60" s="57" t="s">
        <v>235</v>
      </c>
      <c r="BA60" s="34" t="s">
        <v>203</v>
      </c>
      <c r="BC60" s="54">
        <f t="shared" si="63"/>
        <v>0</v>
      </c>
      <c r="BD60" s="54">
        <f t="shared" si="64"/>
        <v>0</v>
      </c>
      <c r="BE60" s="54">
        <v>0</v>
      </c>
      <c r="BF60" s="54">
        <f>60</f>
        <v>60</v>
      </c>
      <c r="BH60" s="54">
        <f t="shared" si="65"/>
        <v>0</v>
      </c>
      <c r="BI60" s="54">
        <f t="shared" si="66"/>
        <v>0</v>
      </c>
      <c r="BJ60" s="54">
        <f t="shared" si="67"/>
        <v>0</v>
      </c>
      <c r="BK60" s="57" t="s">
        <v>180</v>
      </c>
      <c r="BL60" s="54"/>
      <c r="BW60" s="54">
        <v>21</v>
      </c>
      <c r="BX60" s="3" t="s">
        <v>254</v>
      </c>
    </row>
    <row r="61" spans="1:76" ht="14.5" x14ac:dyDescent="0.35">
      <c r="A61" s="1" t="s">
        <v>255</v>
      </c>
      <c r="B61" s="2" t="s">
        <v>253</v>
      </c>
      <c r="C61" s="80" t="s">
        <v>256</v>
      </c>
      <c r="D61" s="75"/>
      <c r="E61" s="2" t="s">
        <v>224</v>
      </c>
      <c r="F61" s="54">
        <v>1</v>
      </c>
      <c r="G61" s="55">
        <v>0</v>
      </c>
      <c r="H61" s="54">
        <f t="shared" si="44"/>
        <v>0</v>
      </c>
      <c r="I61" s="54">
        <f t="shared" si="45"/>
        <v>0</v>
      </c>
      <c r="J61" s="54">
        <f t="shared" si="46"/>
        <v>0</v>
      </c>
      <c r="K61" s="56" t="s">
        <v>4</v>
      </c>
      <c r="Z61" s="54">
        <f t="shared" si="47"/>
        <v>0</v>
      </c>
      <c r="AB61" s="54">
        <f t="shared" si="48"/>
        <v>0</v>
      </c>
      <c r="AC61" s="54">
        <f t="shared" si="49"/>
        <v>0</v>
      </c>
      <c r="AD61" s="54">
        <f t="shared" si="50"/>
        <v>0</v>
      </c>
      <c r="AE61" s="54">
        <f t="shared" si="51"/>
        <v>0</v>
      </c>
      <c r="AF61" s="54">
        <f t="shared" si="52"/>
        <v>0</v>
      </c>
      <c r="AG61" s="54">
        <f t="shared" si="53"/>
        <v>0</v>
      </c>
      <c r="AH61" s="54">
        <f t="shared" si="54"/>
        <v>0</v>
      </c>
      <c r="AI61" s="34" t="s">
        <v>197</v>
      </c>
      <c r="AJ61" s="54">
        <f t="shared" si="55"/>
        <v>0</v>
      </c>
      <c r="AK61" s="54">
        <f t="shared" si="56"/>
        <v>0</v>
      </c>
      <c r="AL61" s="54">
        <f t="shared" si="57"/>
        <v>0</v>
      </c>
      <c r="AN61" s="54">
        <v>21</v>
      </c>
      <c r="AO61" s="54">
        <f t="shared" si="58"/>
        <v>0</v>
      </c>
      <c r="AP61" s="54">
        <f t="shared" si="59"/>
        <v>0</v>
      </c>
      <c r="AQ61" s="57" t="s">
        <v>184</v>
      </c>
      <c r="AV61" s="54">
        <f t="shared" si="60"/>
        <v>0</v>
      </c>
      <c r="AW61" s="54">
        <f t="shared" si="61"/>
        <v>0</v>
      </c>
      <c r="AX61" s="54">
        <f t="shared" si="62"/>
        <v>0</v>
      </c>
      <c r="AY61" s="57" t="s">
        <v>185</v>
      </c>
      <c r="AZ61" s="57" t="s">
        <v>235</v>
      </c>
      <c r="BA61" s="34" t="s">
        <v>203</v>
      </c>
      <c r="BC61" s="54">
        <f t="shared" si="63"/>
        <v>0</v>
      </c>
      <c r="BD61" s="54">
        <f t="shared" si="64"/>
        <v>0</v>
      </c>
      <c r="BE61" s="54">
        <v>0</v>
      </c>
      <c r="BF61" s="54">
        <f>61</f>
        <v>61</v>
      </c>
      <c r="BH61" s="54">
        <f t="shared" si="65"/>
        <v>0</v>
      </c>
      <c r="BI61" s="54">
        <f t="shared" si="66"/>
        <v>0</v>
      </c>
      <c r="BJ61" s="54">
        <f t="shared" si="67"/>
        <v>0</v>
      </c>
      <c r="BK61" s="57" t="s">
        <v>180</v>
      </c>
      <c r="BL61" s="54"/>
      <c r="BW61" s="54">
        <v>21</v>
      </c>
      <c r="BX61" s="3" t="s">
        <v>256</v>
      </c>
    </row>
    <row r="62" spans="1:76" ht="14.5" x14ac:dyDescent="0.35">
      <c r="A62" s="60" t="s">
        <v>4</v>
      </c>
      <c r="B62" s="61" t="s">
        <v>4</v>
      </c>
      <c r="C62" s="164" t="s">
        <v>257</v>
      </c>
      <c r="D62" s="165"/>
      <c r="E62" s="62" t="s">
        <v>70</v>
      </c>
      <c r="F62" s="62" t="s">
        <v>70</v>
      </c>
      <c r="G62" s="52" t="s">
        <v>70</v>
      </c>
      <c r="H62" s="63">
        <f>ROUND(SUM(H63,H67,H75,H77),2)</f>
        <v>0</v>
      </c>
      <c r="I62" s="63">
        <f>ROUND(SUM(I63,I67,I75,I77),2)</f>
        <v>0</v>
      </c>
      <c r="J62" s="63">
        <f>ROUND(SUM(J63,J67,J75,J77),2)</f>
        <v>0</v>
      </c>
      <c r="K62" s="64" t="s">
        <v>4</v>
      </c>
    </row>
    <row r="63" spans="1:76" ht="14.5" x14ac:dyDescent="0.35">
      <c r="A63" s="49" t="s">
        <v>4</v>
      </c>
      <c r="B63" s="50" t="s">
        <v>156</v>
      </c>
      <c r="C63" s="158" t="s">
        <v>258</v>
      </c>
      <c r="D63" s="159"/>
      <c r="E63" s="51" t="s">
        <v>70</v>
      </c>
      <c r="F63" s="51" t="s">
        <v>70</v>
      </c>
      <c r="G63" s="52" t="s">
        <v>70</v>
      </c>
      <c r="H63" s="28">
        <f>ROUND(SUM(H64:H66),2)</f>
        <v>0</v>
      </c>
      <c r="I63" s="28">
        <f>ROUND(SUM(I64:I66),2)</f>
        <v>0</v>
      </c>
      <c r="J63" s="28">
        <f>ROUND(SUM(J64:J66),2)</f>
        <v>0</v>
      </c>
      <c r="K63" s="53" t="s">
        <v>4</v>
      </c>
      <c r="AI63" s="34" t="s">
        <v>259</v>
      </c>
      <c r="AS63" s="28">
        <f>SUM(AJ64:AJ66)</f>
        <v>0</v>
      </c>
      <c r="AT63" s="28">
        <f>SUM(AK64:AK66)</f>
        <v>0</v>
      </c>
      <c r="AU63" s="28">
        <f>SUM(AL64:AL66)</f>
        <v>0</v>
      </c>
    </row>
    <row r="64" spans="1:76" ht="25" x14ac:dyDescent="0.35">
      <c r="A64" s="1" t="s">
        <v>260</v>
      </c>
      <c r="B64" s="2" t="s">
        <v>261</v>
      </c>
      <c r="C64" s="80" t="s">
        <v>262</v>
      </c>
      <c r="D64" s="75"/>
      <c r="E64" s="2" t="s">
        <v>174</v>
      </c>
      <c r="F64" s="54">
        <v>1.9</v>
      </c>
      <c r="G64" s="55">
        <v>0</v>
      </c>
      <c r="H64" s="54">
        <f>ROUND(F64*AO64,2)</f>
        <v>0</v>
      </c>
      <c r="I64" s="54">
        <f>ROUND(F64*AP64,2)</f>
        <v>0</v>
      </c>
      <c r="J64" s="54">
        <f>ROUND(F64*G64,2)</f>
        <v>0</v>
      </c>
      <c r="K64" s="56" t="s">
        <v>121</v>
      </c>
      <c r="Z64" s="54">
        <f>ROUND(IF(AQ64="5",BJ64,0),2)</f>
        <v>0</v>
      </c>
      <c r="AB64" s="54">
        <f>ROUND(IF(AQ64="1",BH64,0),2)</f>
        <v>0</v>
      </c>
      <c r="AC64" s="54">
        <f>ROUND(IF(AQ64="1",BI64,0),2)</f>
        <v>0</v>
      </c>
      <c r="AD64" s="54">
        <f>ROUND(IF(AQ64="7",BH64,0),2)</f>
        <v>0</v>
      </c>
      <c r="AE64" s="54">
        <f>ROUND(IF(AQ64="7",BI64,0),2)</f>
        <v>0</v>
      </c>
      <c r="AF64" s="54">
        <f>ROUND(IF(AQ64="2",BH64,0),2)</f>
        <v>0</v>
      </c>
      <c r="AG64" s="54">
        <f>ROUND(IF(AQ64="2",BI64,0),2)</f>
        <v>0</v>
      </c>
      <c r="AH64" s="54">
        <f>ROUND(IF(AQ64="0",BJ64,0),2)</f>
        <v>0</v>
      </c>
      <c r="AI64" s="34" t="s">
        <v>259</v>
      </c>
      <c r="AJ64" s="54">
        <f>IF(AN64=0,J64,0)</f>
        <v>0</v>
      </c>
      <c r="AK64" s="54">
        <f>IF(AN64=12,J64,0)</f>
        <v>0</v>
      </c>
      <c r="AL64" s="54">
        <f>IF(AN64=21,J64,0)</f>
        <v>0</v>
      </c>
      <c r="AN64" s="54">
        <v>21</v>
      </c>
      <c r="AO64" s="54">
        <f>G64*0</f>
        <v>0</v>
      </c>
      <c r="AP64" s="54">
        <f>G64*(1-0)</f>
        <v>0</v>
      </c>
      <c r="AQ64" s="57" t="s">
        <v>110</v>
      </c>
      <c r="AV64" s="54">
        <f>ROUND(AW64+AX64,2)</f>
        <v>0</v>
      </c>
      <c r="AW64" s="54">
        <f>ROUND(F64*AO64,2)</f>
        <v>0</v>
      </c>
      <c r="AX64" s="54">
        <f>ROUND(F64*AP64,2)</f>
        <v>0</v>
      </c>
      <c r="AY64" s="57" t="s">
        <v>263</v>
      </c>
      <c r="AZ64" s="57" t="s">
        <v>264</v>
      </c>
      <c r="BA64" s="34" t="s">
        <v>265</v>
      </c>
      <c r="BC64" s="54">
        <f>AW64+AX64</f>
        <v>0</v>
      </c>
      <c r="BD64" s="54">
        <f>G64/(100-BE64)*100</f>
        <v>0</v>
      </c>
      <c r="BE64" s="54">
        <v>0</v>
      </c>
      <c r="BF64" s="54">
        <f>64</f>
        <v>64</v>
      </c>
      <c r="BH64" s="54">
        <f>F64*AO64</f>
        <v>0</v>
      </c>
      <c r="BI64" s="54">
        <f>F64*AP64</f>
        <v>0</v>
      </c>
      <c r="BJ64" s="54">
        <f>F64*G64</f>
        <v>0</v>
      </c>
      <c r="BK64" s="57" t="s">
        <v>117</v>
      </c>
      <c r="BL64" s="54">
        <v>12</v>
      </c>
      <c r="BW64" s="54">
        <v>21</v>
      </c>
      <c r="BX64" s="3" t="s">
        <v>262</v>
      </c>
    </row>
    <row r="65" spans="1:76" ht="14.5" x14ac:dyDescent="0.35">
      <c r="A65" s="1" t="s">
        <v>266</v>
      </c>
      <c r="B65" s="2" t="s">
        <v>267</v>
      </c>
      <c r="C65" s="80" t="s">
        <v>268</v>
      </c>
      <c r="D65" s="75"/>
      <c r="E65" s="2" t="s">
        <v>174</v>
      </c>
      <c r="F65" s="54">
        <v>2.2999999999999998</v>
      </c>
      <c r="G65" s="55">
        <v>0</v>
      </c>
      <c r="H65" s="54">
        <f>ROUND(F65*AO65,2)</f>
        <v>0</v>
      </c>
      <c r="I65" s="54">
        <f>ROUND(F65*AP65,2)</f>
        <v>0</v>
      </c>
      <c r="J65" s="54">
        <f>ROUND(F65*G65,2)</f>
        <v>0</v>
      </c>
      <c r="K65" s="56" t="s">
        <v>121</v>
      </c>
      <c r="Z65" s="54">
        <f>ROUND(IF(AQ65="5",BJ65,0),2)</f>
        <v>0</v>
      </c>
      <c r="AB65" s="54">
        <f>ROUND(IF(AQ65="1",BH65,0),2)</f>
        <v>0</v>
      </c>
      <c r="AC65" s="54">
        <f>ROUND(IF(AQ65="1",BI65,0),2)</f>
        <v>0</v>
      </c>
      <c r="AD65" s="54">
        <f>ROUND(IF(AQ65="7",BH65,0),2)</f>
        <v>0</v>
      </c>
      <c r="AE65" s="54">
        <f>ROUND(IF(AQ65="7",BI65,0),2)</f>
        <v>0</v>
      </c>
      <c r="AF65" s="54">
        <f>ROUND(IF(AQ65="2",BH65,0),2)</f>
        <v>0</v>
      </c>
      <c r="AG65" s="54">
        <f>ROUND(IF(AQ65="2",BI65,0),2)</f>
        <v>0</v>
      </c>
      <c r="AH65" s="54">
        <f>ROUND(IF(AQ65="0",BJ65,0),2)</f>
        <v>0</v>
      </c>
      <c r="AI65" s="34" t="s">
        <v>259</v>
      </c>
      <c r="AJ65" s="54">
        <f>IF(AN65=0,J65,0)</f>
        <v>0</v>
      </c>
      <c r="AK65" s="54">
        <f>IF(AN65=12,J65,0)</f>
        <v>0</v>
      </c>
      <c r="AL65" s="54">
        <f>IF(AN65=21,J65,0)</f>
        <v>0</v>
      </c>
      <c r="AN65" s="54">
        <v>21</v>
      </c>
      <c r="AO65" s="54">
        <f>G65*0</f>
        <v>0</v>
      </c>
      <c r="AP65" s="54">
        <f>G65*(1-0)</f>
        <v>0</v>
      </c>
      <c r="AQ65" s="57" t="s">
        <v>110</v>
      </c>
      <c r="AV65" s="54">
        <f>ROUND(AW65+AX65,2)</f>
        <v>0</v>
      </c>
      <c r="AW65" s="54">
        <f>ROUND(F65*AO65,2)</f>
        <v>0</v>
      </c>
      <c r="AX65" s="54">
        <f>ROUND(F65*AP65,2)</f>
        <v>0</v>
      </c>
      <c r="AY65" s="57" t="s">
        <v>263</v>
      </c>
      <c r="AZ65" s="57" t="s">
        <v>264</v>
      </c>
      <c r="BA65" s="34" t="s">
        <v>265</v>
      </c>
      <c r="BC65" s="54">
        <f>AW65+AX65</f>
        <v>0</v>
      </c>
      <c r="BD65" s="54">
        <f>G65/(100-BE65)*100</f>
        <v>0</v>
      </c>
      <c r="BE65" s="54">
        <v>0</v>
      </c>
      <c r="BF65" s="54">
        <f>65</f>
        <v>65</v>
      </c>
      <c r="BH65" s="54">
        <f>F65*AO65</f>
        <v>0</v>
      </c>
      <c r="BI65" s="54">
        <f>F65*AP65</f>
        <v>0</v>
      </c>
      <c r="BJ65" s="54">
        <f>F65*G65</f>
        <v>0</v>
      </c>
      <c r="BK65" s="57" t="s">
        <v>117</v>
      </c>
      <c r="BL65" s="54">
        <v>12</v>
      </c>
      <c r="BW65" s="54">
        <v>21</v>
      </c>
      <c r="BX65" s="3" t="s">
        <v>268</v>
      </c>
    </row>
    <row r="66" spans="1:76" ht="14.5" x14ac:dyDescent="0.35">
      <c r="A66" s="1" t="s">
        <v>269</v>
      </c>
      <c r="B66" s="2" t="s">
        <v>270</v>
      </c>
      <c r="C66" s="80" t="s">
        <v>271</v>
      </c>
      <c r="D66" s="75"/>
      <c r="E66" s="2" t="s">
        <v>174</v>
      </c>
      <c r="F66" s="54">
        <v>2.2999999999999998</v>
      </c>
      <c r="G66" s="55">
        <v>0</v>
      </c>
      <c r="H66" s="54">
        <f>ROUND(F66*AO66,2)</f>
        <v>0</v>
      </c>
      <c r="I66" s="54">
        <f>ROUND(F66*AP66,2)</f>
        <v>0</v>
      </c>
      <c r="J66" s="54">
        <f>ROUND(F66*G66,2)</f>
        <v>0</v>
      </c>
      <c r="K66" s="56" t="s">
        <v>121</v>
      </c>
      <c r="Z66" s="54">
        <f>ROUND(IF(AQ66="5",BJ66,0),2)</f>
        <v>0</v>
      </c>
      <c r="AB66" s="54">
        <f>ROUND(IF(AQ66="1",BH66,0),2)</f>
        <v>0</v>
      </c>
      <c r="AC66" s="54">
        <f>ROUND(IF(AQ66="1",BI66,0),2)</f>
        <v>0</v>
      </c>
      <c r="AD66" s="54">
        <f>ROUND(IF(AQ66="7",BH66,0),2)</f>
        <v>0</v>
      </c>
      <c r="AE66" s="54">
        <f>ROUND(IF(AQ66="7",BI66,0),2)</f>
        <v>0</v>
      </c>
      <c r="AF66" s="54">
        <f>ROUND(IF(AQ66="2",BH66,0),2)</f>
        <v>0</v>
      </c>
      <c r="AG66" s="54">
        <f>ROUND(IF(AQ66="2",BI66,0),2)</f>
        <v>0</v>
      </c>
      <c r="AH66" s="54">
        <f>ROUND(IF(AQ66="0",BJ66,0),2)</f>
        <v>0</v>
      </c>
      <c r="AI66" s="34" t="s">
        <v>259</v>
      </c>
      <c r="AJ66" s="54">
        <f>IF(AN66=0,J66,0)</f>
        <v>0</v>
      </c>
      <c r="AK66" s="54">
        <f>IF(AN66=12,J66,0)</f>
        <v>0</v>
      </c>
      <c r="AL66" s="54">
        <f>IF(AN66=21,J66,0)</f>
        <v>0</v>
      </c>
      <c r="AN66" s="54">
        <v>21</v>
      </c>
      <c r="AO66" s="54">
        <f>G66*0</f>
        <v>0</v>
      </c>
      <c r="AP66" s="54">
        <f>G66*(1-0)</f>
        <v>0</v>
      </c>
      <c r="AQ66" s="57" t="s">
        <v>110</v>
      </c>
      <c r="AV66" s="54">
        <f>ROUND(AW66+AX66,2)</f>
        <v>0</v>
      </c>
      <c r="AW66" s="54">
        <f>ROUND(F66*AO66,2)</f>
        <v>0</v>
      </c>
      <c r="AX66" s="54">
        <f>ROUND(F66*AP66,2)</f>
        <v>0</v>
      </c>
      <c r="AY66" s="57" t="s">
        <v>263</v>
      </c>
      <c r="AZ66" s="57" t="s">
        <v>264</v>
      </c>
      <c r="BA66" s="34" t="s">
        <v>265</v>
      </c>
      <c r="BC66" s="54">
        <f>AW66+AX66</f>
        <v>0</v>
      </c>
      <c r="BD66" s="54">
        <f>G66/(100-BE66)*100</f>
        <v>0</v>
      </c>
      <c r="BE66" s="54">
        <v>0</v>
      </c>
      <c r="BF66" s="54">
        <f>66</f>
        <v>66</v>
      </c>
      <c r="BH66" s="54">
        <f>F66*AO66</f>
        <v>0</v>
      </c>
      <c r="BI66" s="54">
        <f>F66*AP66</f>
        <v>0</v>
      </c>
      <c r="BJ66" s="54">
        <f>F66*G66</f>
        <v>0</v>
      </c>
      <c r="BK66" s="57" t="s">
        <v>117</v>
      </c>
      <c r="BL66" s="54">
        <v>12</v>
      </c>
      <c r="BW66" s="54">
        <v>21</v>
      </c>
      <c r="BX66" s="3" t="s">
        <v>271</v>
      </c>
    </row>
    <row r="67" spans="1:76" ht="14.5" x14ac:dyDescent="0.35">
      <c r="A67" s="49" t="s">
        <v>4</v>
      </c>
      <c r="B67" s="50" t="s">
        <v>191</v>
      </c>
      <c r="C67" s="158" t="s">
        <v>196</v>
      </c>
      <c r="D67" s="159"/>
      <c r="E67" s="51" t="s">
        <v>70</v>
      </c>
      <c r="F67" s="51" t="s">
        <v>70</v>
      </c>
      <c r="G67" s="52" t="s">
        <v>70</v>
      </c>
      <c r="H67" s="28">
        <f>ROUND(SUM(H68:H74),2)</f>
        <v>0</v>
      </c>
      <c r="I67" s="28">
        <f>ROUND(SUM(I68:I74),2)</f>
        <v>0</v>
      </c>
      <c r="J67" s="28">
        <f>ROUND(SUM(J68:J74),2)</f>
        <v>0</v>
      </c>
      <c r="K67" s="53" t="s">
        <v>4</v>
      </c>
      <c r="AI67" s="34" t="s">
        <v>259</v>
      </c>
      <c r="AS67" s="28">
        <f>SUM(AJ68:AJ74)</f>
        <v>0</v>
      </c>
      <c r="AT67" s="28">
        <f>SUM(AK68:AK74)</f>
        <v>0</v>
      </c>
      <c r="AU67" s="28">
        <f>SUM(AL68:AL74)</f>
        <v>0</v>
      </c>
    </row>
    <row r="68" spans="1:76" ht="25" x14ac:dyDescent="0.35">
      <c r="A68" s="1" t="s">
        <v>272</v>
      </c>
      <c r="B68" s="2" t="s">
        <v>273</v>
      </c>
      <c r="C68" s="80" t="s">
        <v>274</v>
      </c>
      <c r="D68" s="75"/>
      <c r="E68" s="2" t="s">
        <v>174</v>
      </c>
      <c r="F68" s="54">
        <v>2</v>
      </c>
      <c r="G68" s="55">
        <v>0</v>
      </c>
      <c r="H68" s="54">
        <f t="shared" ref="H68:H74" si="68">ROUND(F68*AO68,2)</f>
        <v>0</v>
      </c>
      <c r="I68" s="54">
        <f t="shared" ref="I68:I74" si="69">ROUND(F68*AP68,2)</f>
        <v>0</v>
      </c>
      <c r="J68" s="54">
        <f t="shared" ref="J68:J74" si="70">ROUND(F68*G68,2)</f>
        <v>0</v>
      </c>
      <c r="K68" s="56" t="s">
        <v>121</v>
      </c>
      <c r="Z68" s="54">
        <f t="shared" ref="Z68:Z74" si="71">ROUND(IF(AQ68="5",BJ68,0),2)</f>
        <v>0</v>
      </c>
      <c r="AB68" s="54">
        <f t="shared" ref="AB68:AB74" si="72">ROUND(IF(AQ68="1",BH68,0),2)</f>
        <v>0</v>
      </c>
      <c r="AC68" s="54">
        <f t="shared" ref="AC68:AC74" si="73">ROUND(IF(AQ68="1",BI68,0),2)</f>
        <v>0</v>
      </c>
      <c r="AD68" s="54">
        <f t="shared" ref="AD68:AD74" si="74">ROUND(IF(AQ68="7",BH68,0),2)</f>
        <v>0</v>
      </c>
      <c r="AE68" s="54">
        <f t="shared" ref="AE68:AE74" si="75">ROUND(IF(AQ68="7",BI68,0),2)</f>
        <v>0</v>
      </c>
      <c r="AF68" s="54">
        <f t="shared" ref="AF68:AF74" si="76">ROUND(IF(AQ68="2",BH68,0),2)</f>
        <v>0</v>
      </c>
      <c r="AG68" s="54">
        <f t="shared" ref="AG68:AG74" si="77">ROUND(IF(AQ68="2",BI68,0),2)</f>
        <v>0</v>
      </c>
      <c r="AH68" s="54">
        <f t="shared" ref="AH68:AH74" si="78">ROUND(IF(AQ68="0",BJ68,0),2)</f>
        <v>0</v>
      </c>
      <c r="AI68" s="34" t="s">
        <v>259</v>
      </c>
      <c r="AJ68" s="54">
        <f t="shared" ref="AJ68:AJ74" si="79">IF(AN68=0,J68,0)</f>
        <v>0</v>
      </c>
      <c r="AK68" s="54">
        <f t="shared" ref="AK68:AK74" si="80">IF(AN68=12,J68,0)</f>
        <v>0</v>
      </c>
      <c r="AL68" s="54">
        <f t="shared" ref="AL68:AL74" si="81">IF(AN68=21,J68,0)</f>
        <v>0</v>
      </c>
      <c r="AN68" s="54">
        <v>21</v>
      </c>
      <c r="AO68" s="54">
        <f>G68*0</f>
        <v>0</v>
      </c>
      <c r="AP68" s="54">
        <f>G68*(1-0)</f>
        <v>0</v>
      </c>
      <c r="AQ68" s="57" t="s">
        <v>118</v>
      </c>
      <c r="AV68" s="54">
        <f t="shared" ref="AV68:AV74" si="82">ROUND(AW68+AX68,2)</f>
        <v>0</v>
      </c>
      <c r="AW68" s="54">
        <f t="shared" ref="AW68:AW74" si="83">ROUND(F68*AO68,2)</f>
        <v>0</v>
      </c>
      <c r="AX68" s="54">
        <f t="shared" ref="AX68:AX74" si="84">ROUND(F68*AP68,2)</f>
        <v>0</v>
      </c>
      <c r="AY68" s="57" t="s">
        <v>201</v>
      </c>
      <c r="AZ68" s="57" t="s">
        <v>275</v>
      </c>
      <c r="BA68" s="34" t="s">
        <v>265</v>
      </c>
      <c r="BC68" s="54">
        <f t="shared" ref="BC68:BC74" si="85">AW68+AX68</f>
        <v>0</v>
      </c>
      <c r="BD68" s="54">
        <f t="shared" ref="BD68:BD74" si="86">G68/(100-BE68)*100</f>
        <v>0</v>
      </c>
      <c r="BE68" s="54">
        <v>0</v>
      </c>
      <c r="BF68" s="54">
        <f>68</f>
        <v>68</v>
      </c>
      <c r="BH68" s="54">
        <f t="shared" ref="BH68:BH74" si="87">F68*AO68</f>
        <v>0</v>
      </c>
      <c r="BI68" s="54">
        <f t="shared" ref="BI68:BI74" si="88">F68*AP68</f>
        <v>0</v>
      </c>
      <c r="BJ68" s="54">
        <f t="shared" ref="BJ68:BJ74" si="89">F68*G68</f>
        <v>0</v>
      </c>
      <c r="BK68" s="57" t="s">
        <v>117</v>
      </c>
      <c r="BL68" s="54">
        <v>18</v>
      </c>
      <c r="BW68" s="54">
        <v>21</v>
      </c>
      <c r="BX68" s="3" t="s">
        <v>274</v>
      </c>
    </row>
    <row r="69" spans="1:76" ht="14.5" x14ac:dyDescent="0.35">
      <c r="A69" s="1" t="s">
        <v>276</v>
      </c>
      <c r="B69" s="2" t="s">
        <v>277</v>
      </c>
      <c r="C69" s="80" t="s">
        <v>278</v>
      </c>
      <c r="D69" s="75"/>
      <c r="E69" s="2" t="s">
        <v>113</v>
      </c>
      <c r="F69" s="54">
        <v>19</v>
      </c>
      <c r="G69" s="55">
        <v>0</v>
      </c>
      <c r="H69" s="54">
        <f t="shared" si="68"/>
        <v>0</v>
      </c>
      <c r="I69" s="54">
        <f t="shared" si="69"/>
        <v>0</v>
      </c>
      <c r="J69" s="54">
        <f t="shared" si="70"/>
        <v>0</v>
      </c>
      <c r="K69" s="56" t="s">
        <v>121</v>
      </c>
      <c r="Z69" s="54">
        <f t="shared" si="71"/>
        <v>0</v>
      </c>
      <c r="AB69" s="54">
        <f t="shared" si="72"/>
        <v>0</v>
      </c>
      <c r="AC69" s="54">
        <f t="shared" si="73"/>
        <v>0</v>
      </c>
      <c r="AD69" s="54">
        <f t="shared" si="74"/>
        <v>0</v>
      </c>
      <c r="AE69" s="54">
        <f t="shared" si="75"/>
        <v>0</v>
      </c>
      <c r="AF69" s="54">
        <f t="shared" si="76"/>
        <v>0</v>
      </c>
      <c r="AG69" s="54">
        <f t="shared" si="77"/>
        <v>0</v>
      </c>
      <c r="AH69" s="54">
        <f t="shared" si="78"/>
        <v>0</v>
      </c>
      <c r="AI69" s="34" t="s">
        <v>259</v>
      </c>
      <c r="AJ69" s="54">
        <f t="shared" si="79"/>
        <v>0</v>
      </c>
      <c r="AK69" s="54">
        <f t="shared" si="80"/>
        <v>0</v>
      </c>
      <c r="AL69" s="54">
        <f t="shared" si="81"/>
        <v>0</v>
      </c>
      <c r="AN69" s="54">
        <v>21</v>
      </c>
      <c r="AO69" s="54">
        <f>G69*0</f>
        <v>0</v>
      </c>
      <c r="AP69" s="54">
        <f>G69*(1-0)</f>
        <v>0</v>
      </c>
      <c r="AQ69" s="57" t="s">
        <v>110</v>
      </c>
      <c r="AV69" s="54">
        <f t="shared" si="82"/>
        <v>0</v>
      </c>
      <c r="AW69" s="54">
        <f t="shared" si="83"/>
        <v>0</v>
      </c>
      <c r="AX69" s="54">
        <f t="shared" si="84"/>
        <v>0</v>
      </c>
      <c r="AY69" s="57" t="s">
        <v>201</v>
      </c>
      <c r="AZ69" s="57" t="s">
        <v>275</v>
      </c>
      <c r="BA69" s="34" t="s">
        <v>265</v>
      </c>
      <c r="BC69" s="54">
        <f t="shared" si="85"/>
        <v>0</v>
      </c>
      <c r="BD69" s="54">
        <f t="shared" si="86"/>
        <v>0</v>
      </c>
      <c r="BE69" s="54">
        <v>0</v>
      </c>
      <c r="BF69" s="54">
        <f>69</f>
        <v>69</v>
      </c>
      <c r="BH69" s="54">
        <f t="shared" si="87"/>
        <v>0</v>
      </c>
      <c r="BI69" s="54">
        <f t="shared" si="88"/>
        <v>0</v>
      </c>
      <c r="BJ69" s="54">
        <f t="shared" si="89"/>
        <v>0</v>
      </c>
      <c r="BK69" s="57" t="s">
        <v>117</v>
      </c>
      <c r="BL69" s="54">
        <v>18</v>
      </c>
      <c r="BW69" s="54">
        <v>21</v>
      </c>
      <c r="BX69" s="3" t="s">
        <v>278</v>
      </c>
    </row>
    <row r="70" spans="1:76" ht="14.5" x14ac:dyDescent="0.35">
      <c r="A70" s="1" t="s">
        <v>279</v>
      </c>
      <c r="B70" s="2" t="s">
        <v>280</v>
      </c>
      <c r="C70" s="80" t="s">
        <v>281</v>
      </c>
      <c r="D70" s="75"/>
      <c r="E70" s="2" t="s">
        <v>113</v>
      </c>
      <c r="F70" s="54">
        <v>60</v>
      </c>
      <c r="G70" s="55">
        <v>0</v>
      </c>
      <c r="H70" s="54">
        <f t="shared" si="68"/>
        <v>0</v>
      </c>
      <c r="I70" s="54">
        <f t="shared" si="69"/>
        <v>0</v>
      </c>
      <c r="J70" s="54">
        <f t="shared" si="70"/>
        <v>0</v>
      </c>
      <c r="K70" s="56" t="s">
        <v>121</v>
      </c>
      <c r="Z70" s="54">
        <f t="shared" si="71"/>
        <v>0</v>
      </c>
      <c r="AB70" s="54">
        <f t="shared" si="72"/>
        <v>0</v>
      </c>
      <c r="AC70" s="54">
        <f t="shared" si="73"/>
        <v>0</v>
      </c>
      <c r="AD70" s="54">
        <f t="shared" si="74"/>
        <v>0</v>
      </c>
      <c r="AE70" s="54">
        <f t="shared" si="75"/>
        <v>0</v>
      </c>
      <c r="AF70" s="54">
        <f t="shared" si="76"/>
        <v>0</v>
      </c>
      <c r="AG70" s="54">
        <f t="shared" si="77"/>
        <v>0</v>
      </c>
      <c r="AH70" s="54">
        <f t="shared" si="78"/>
        <v>0</v>
      </c>
      <c r="AI70" s="34" t="s">
        <v>259</v>
      </c>
      <c r="AJ70" s="54">
        <f t="shared" si="79"/>
        <v>0</v>
      </c>
      <c r="AK70" s="54">
        <f t="shared" si="80"/>
        <v>0</v>
      </c>
      <c r="AL70" s="54">
        <f t="shared" si="81"/>
        <v>0</v>
      </c>
      <c r="AN70" s="54">
        <v>21</v>
      </c>
      <c r="AO70" s="54">
        <f>G70*0</f>
        <v>0</v>
      </c>
      <c r="AP70" s="54">
        <f>G70*(1-0)</f>
        <v>0</v>
      </c>
      <c r="AQ70" s="57" t="s">
        <v>110</v>
      </c>
      <c r="AV70" s="54">
        <f t="shared" si="82"/>
        <v>0</v>
      </c>
      <c r="AW70" s="54">
        <f t="shared" si="83"/>
        <v>0</v>
      </c>
      <c r="AX70" s="54">
        <f t="shared" si="84"/>
        <v>0</v>
      </c>
      <c r="AY70" s="57" t="s">
        <v>201</v>
      </c>
      <c r="AZ70" s="57" t="s">
        <v>275</v>
      </c>
      <c r="BA70" s="34" t="s">
        <v>265</v>
      </c>
      <c r="BC70" s="54">
        <f t="shared" si="85"/>
        <v>0</v>
      </c>
      <c r="BD70" s="54">
        <f t="shared" si="86"/>
        <v>0</v>
      </c>
      <c r="BE70" s="54">
        <v>0</v>
      </c>
      <c r="BF70" s="54">
        <f>70</f>
        <v>70</v>
      </c>
      <c r="BH70" s="54">
        <f t="shared" si="87"/>
        <v>0</v>
      </c>
      <c r="BI70" s="54">
        <f t="shared" si="88"/>
        <v>0</v>
      </c>
      <c r="BJ70" s="54">
        <f t="shared" si="89"/>
        <v>0</v>
      </c>
      <c r="BK70" s="57" t="s">
        <v>117</v>
      </c>
      <c r="BL70" s="54">
        <v>18</v>
      </c>
      <c r="BW70" s="54">
        <v>21</v>
      </c>
      <c r="BX70" s="3" t="s">
        <v>281</v>
      </c>
    </row>
    <row r="71" spans="1:76" ht="14.5" x14ac:dyDescent="0.35">
      <c r="A71" s="1" t="s">
        <v>282</v>
      </c>
      <c r="B71" s="2" t="s">
        <v>283</v>
      </c>
      <c r="C71" s="80" t="s">
        <v>284</v>
      </c>
      <c r="D71" s="75"/>
      <c r="E71" s="2" t="s">
        <v>134</v>
      </c>
      <c r="F71" s="54">
        <v>38</v>
      </c>
      <c r="G71" s="55">
        <v>0</v>
      </c>
      <c r="H71" s="54">
        <f t="shared" si="68"/>
        <v>0</v>
      </c>
      <c r="I71" s="54">
        <f t="shared" si="69"/>
        <v>0</v>
      </c>
      <c r="J71" s="54">
        <f t="shared" si="70"/>
        <v>0</v>
      </c>
      <c r="K71" s="56" t="s">
        <v>121</v>
      </c>
      <c r="Z71" s="54">
        <f t="shared" si="71"/>
        <v>0</v>
      </c>
      <c r="AB71" s="54">
        <f t="shared" si="72"/>
        <v>0</v>
      </c>
      <c r="AC71" s="54">
        <f t="shared" si="73"/>
        <v>0</v>
      </c>
      <c r="AD71" s="54">
        <f t="shared" si="74"/>
        <v>0</v>
      </c>
      <c r="AE71" s="54">
        <f t="shared" si="75"/>
        <v>0</v>
      </c>
      <c r="AF71" s="54">
        <f t="shared" si="76"/>
        <v>0</v>
      </c>
      <c r="AG71" s="54">
        <f t="shared" si="77"/>
        <v>0</v>
      </c>
      <c r="AH71" s="54">
        <f t="shared" si="78"/>
        <v>0</v>
      </c>
      <c r="AI71" s="34" t="s">
        <v>259</v>
      </c>
      <c r="AJ71" s="54">
        <f t="shared" si="79"/>
        <v>0</v>
      </c>
      <c r="AK71" s="54">
        <f t="shared" si="80"/>
        <v>0</v>
      </c>
      <c r="AL71" s="54">
        <f t="shared" si="81"/>
        <v>0</v>
      </c>
      <c r="AN71" s="54">
        <v>21</v>
      </c>
      <c r="AO71" s="54">
        <f>G71*0</f>
        <v>0</v>
      </c>
      <c r="AP71" s="54">
        <f>G71*(1-0)</f>
        <v>0</v>
      </c>
      <c r="AQ71" s="57" t="s">
        <v>110</v>
      </c>
      <c r="AV71" s="54">
        <f t="shared" si="82"/>
        <v>0</v>
      </c>
      <c r="AW71" s="54">
        <f t="shared" si="83"/>
        <v>0</v>
      </c>
      <c r="AX71" s="54">
        <f t="shared" si="84"/>
        <v>0</v>
      </c>
      <c r="AY71" s="57" t="s">
        <v>201</v>
      </c>
      <c r="AZ71" s="57" t="s">
        <v>275</v>
      </c>
      <c r="BA71" s="34" t="s">
        <v>265</v>
      </c>
      <c r="BC71" s="54">
        <f t="shared" si="85"/>
        <v>0</v>
      </c>
      <c r="BD71" s="54">
        <f t="shared" si="86"/>
        <v>0</v>
      </c>
      <c r="BE71" s="54">
        <v>0</v>
      </c>
      <c r="BF71" s="54">
        <f>71</f>
        <v>71</v>
      </c>
      <c r="BH71" s="54">
        <f t="shared" si="87"/>
        <v>0</v>
      </c>
      <c r="BI71" s="54">
        <f t="shared" si="88"/>
        <v>0</v>
      </c>
      <c r="BJ71" s="54">
        <f t="shared" si="89"/>
        <v>0</v>
      </c>
      <c r="BK71" s="57" t="s">
        <v>117</v>
      </c>
      <c r="BL71" s="54">
        <v>18</v>
      </c>
      <c r="BW71" s="54">
        <v>21</v>
      </c>
      <c r="BX71" s="3" t="s">
        <v>284</v>
      </c>
    </row>
    <row r="72" spans="1:76" ht="14.5" x14ac:dyDescent="0.35">
      <c r="A72" s="1" t="s">
        <v>285</v>
      </c>
      <c r="B72" s="2" t="s">
        <v>286</v>
      </c>
      <c r="C72" s="80" t="s">
        <v>287</v>
      </c>
      <c r="D72" s="75"/>
      <c r="E72" s="2" t="s">
        <v>134</v>
      </c>
      <c r="F72" s="54">
        <v>38</v>
      </c>
      <c r="G72" s="55">
        <v>0</v>
      </c>
      <c r="H72" s="54">
        <f t="shared" si="68"/>
        <v>0</v>
      </c>
      <c r="I72" s="54">
        <f t="shared" si="69"/>
        <v>0</v>
      </c>
      <c r="J72" s="54">
        <f t="shared" si="70"/>
        <v>0</v>
      </c>
      <c r="K72" s="56" t="s">
        <v>121</v>
      </c>
      <c r="Z72" s="54">
        <f t="shared" si="71"/>
        <v>0</v>
      </c>
      <c r="AB72" s="54">
        <f t="shared" si="72"/>
        <v>0</v>
      </c>
      <c r="AC72" s="54">
        <f t="shared" si="73"/>
        <v>0</v>
      </c>
      <c r="AD72" s="54">
        <f t="shared" si="74"/>
        <v>0</v>
      </c>
      <c r="AE72" s="54">
        <f t="shared" si="75"/>
        <v>0</v>
      </c>
      <c r="AF72" s="54">
        <f t="shared" si="76"/>
        <v>0</v>
      </c>
      <c r="AG72" s="54">
        <f t="shared" si="77"/>
        <v>0</v>
      </c>
      <c r="AH72" s="54">
        <f t="shared" si="78"/>
        <v>0</v>
      </c>
      <c r="AI72" s="34" t="s">
        <v>259</v>
      </c>
      <c r="AJ72" s="54">
        <f t="shared" si="79"/>
        <v>0</v>
      </c>
      <c r="AK72" s="54">
        <f t="shared" si="80"/>
        <v>0</v>
      </c>
      <c r="AL72" s="54">
        <f t="shared" si="81"/>
        <v>0</v>
      </c>
      <c r="AN72" s="54">
        <v>21</v>
      </c>
      <c r="AO72" s="54">
        <f>G72*0.009473684</f>
        <v>0</v>
      </c>
      <c r="AP72" s="54">
        <f>G72*(1-0.009473684)</f>
        <v>0</v>
      </c>
      <c r="AQ72" s="57" t="s">
        <v>110</v>
      </c>
      <c r="AV72" s="54">
        <f t="shared" si="82"/>
        <v>0</v>
      </c>
      <c r="AW72" s="54">
        <f t="shared" si="83"/>
        <v>0</v>
      </c>
      <c r="AX72" s="54">
        <f t="shared" si="84"/>
        <v>0</v>
      </c>
      <c r="AY72" s="57" t="s">
        <v>201</v>
      </c>
      <c r="AZ72" s="57" t="s">
        <v>275</v>
      </c>
      <c r="BA72" s="34" t="s">
        <v>265</v>
      </c>
      <c r="BC72" s="54">
        <f t="shared" si="85"/>
        <v>0</v>
      </c>
      <c r="BD72" s="54">
        <f t="shared" si="86"/>
        <v>0</v>
      </c>
      <c r="BE72" s="54">
        <v>0</v>
      </c>
      <c r="BF72" s="54">
        <f>72</f>
        <v>72</v>
      </c>
      <c r="BH72" s="54">
        <f t="shared" si="87"/>
        <v>0</v>
      </c>
      <c r="BI72" s="54">
        <f t="shared" si="88"/>
        <v>0</v>
      </c>
      <c r="BJ72" s="54">
        <f t="shared" si="89"/>
        <v>0</v>
      </c>
      <c r="BK72" s="57" t="s">
        <v>117</v>
      </c>
      <c r="BL72" s="54">
        <v>18</v>
      </c>
      <c r="BW72" s="54">
        <v>21</v>
      </c>
      <c r="BX72" s="3" t="s">
        <v>287</v>
      </c>
    </row>
    <row r="73" spans="1:76" ht="14.5" x14ac:dyDescent="0.35">
      <c r="A73" s="1" t="s">
        <v>288</v>
      </c>
      <c r="B73" s="2" t="s">
        <v>289</v>
      </c>
      <c r="C73" s="80" t="s">
        <v>290</v>
      </c>
      <c r="D73" s="75"/>
      <c r="E73" s="2" t="s">
        <v>113</v>
      </c>
      <c r="F73" s="54">
        <v>60</v>
      </c>
      <c r="G73" s="55">
        <v>0</v>
      </c>
      <c r="H73" s="54">
        <f t="shared" si="68"/>
        <v>0</v>
      </c>
      <c r="I73" s="54">
        <f t="shared" si="69"/>
        <v>0</v>
      </c>
      <c r="J73" s="54">
        <f t="shared" si="70"/>
        <v>0</v>
      </c>
      <c r="K73" s="56" t="s">
        <v>121</v>
      </c>
      <c r="Z73" s="54">
        <f t="shared" si="71"/>
        <v>0</v>
      </c>
      <c r="AB73" s="54">
        <f t="shared" si="72"/>
        <v>0</v>
      </c>
      <c r="AC73" s="54">
        <f t="shared" si="73"/>
        <v>0</v>
      </c>
      <c r="AD73" s="54">
        <f t="shared" si="74"/>
        <v>0</v>
      </c>
      <c r="AE73" s="54">
        <f t="shared" si="75"/>
        <v>0</v>
      </c>
      <c r="AF73" s="54">
        <f t="shared" si="76"/>
        <v>0</v>
      </c>
      <c r="AG73" s="54">
        <f t="shared" si="77"/>
        <v>0</v>
      </c>
      <c r="AH73" s="54">
        <f t="shared" si="78"/>
        <v>0</v>
      </c>
      <c r="AI73" s="34" t="s">
        <v>259</v>
      </c>
      <c r="AJ73" s="54">
        <f t="shared" si="79"/>
        <v>0</v>
      </c>
      <c r="AK73" s="54">
        <f t="shared" si="80"/>
        <v>0</v>
      </c>
      <c r="AL73" s="54">
        <f t="shared" si="81"/>
        <v>0</v>
      </c>
      <c r="AN73" s="54">
        <v>21</v>
      </c>
      <c r="AO73" s="54">
        <f>G73*0</f>
        <v>0</v>
      </c>
      <c r="AP73" s="54">
        <f>G73*(1-0)</f>
        <v>0</v>
      </c>
      <c r="AQ73" s="57" t="s">
        <v>110</v>
      </c>
      <c r="AV73" s="54">
        <f t="shared" si="82"/>
        <v>0</v>
      </c>
      <c r="AW73" s="54">
        <f t="shared" si="83"/>
        <v>0</v>
      </c>
      <c r="AX73" s="54">
        <f t="shared" si="84"/>
        <v>0</v>
      </c>
      <c r="AY73" s="57" t="s">
        <v>201</v>
      </c>
      <c r="AZ73" s="57" t="s">
        <v>275</v>
      </c>
      <c r="BA73" s="34" t="s">
        <v>265</v>
      </c>
      <c r="BC73" s="54">
        <f t="shared" si="85"/>
        <v>0</v>
      </c>
      <c r="BD73" s="54">
        <f t="shared" si="86"/>
        <v>0</v>
      </c>
      <c r="BE73" s="54">
        <v>0</v>
      </c>
      <c r="BF73" s="54">
        <f>73</f>
        <v>73</v>
      </c>
      <c r="BH73" s="54">
        <f t="shared" si="87"/>
        <v>0</v>
      </c>
      <c r="BI73" s="54">
        <f t="shared" si="88"/>
        <v>0</v>
      </c>
      <c r="BJ73" s="54">
        <f t="shared" si="89"/>
        <v>0</v>
      </c>
      <c r="BK73" s="57" t="s">
        <v>117</v>
      </c>
      <c r="BL73" s="54">
        <v>18</v>
      </c>
      <c r="BW73" s="54">
        <v>21</v>
      </c>
      <c r="BX73" s="3" t="s">
        <v>290</v>
      </c>
    </row>
    <row r="74" spans="1:76" ht="14.5" x14ac:dyDescent="0.35">
      <c r="A74" s="1" t="s">
        <v>291</v>
      </c>
      <c r="B74" s="2" t="s">
        <v>217</v>
      </c>
      <c r="C74" s="80" t="s">
        <v>292</v>
      </c>
      <c r="D74" s="75"/>
      <c r="E74" s="2" t="s">
        <v>174</v>
      </c>
      <c r="F74" s="54">
        <v>1.2</v>
      </c>
      <c r="G74" s="55">
        <v>0</v>
      </c>
      <c r="H74" s="54">
        <f t="shared" si="68"/>
        <v>0</v>
      </c>
      <c r="I74" s="54">
        <f t="shared" si="69"/>
        <v>0</v>
      </c>
      <c r="J74" s="54">
        <f t="shared" si="70"/>
        <v>0</v>
      </c>
      <c r="K74" s="56" t="s">
        <v>121</v>
      </c>
      <c r="Z74" s="54">
        <f t="shared" si="71"/>
        <v>0</v>
      </c>
      <c r="AB74" s="54">
        <f t="shared" si="72"/>
        <v>0</v>
      </c>
      <c r="AC74" s="54">
        <f t="shared" si="73"/>
        <v>0</v>
      </c>
      <c r="AD74" s="54">
        <f t="shared" si="74"/>
        <v>0</v>
      </c>
      <c r="AE74" s="54">
        <f t="shared" si="75"/>
        <v>0</v>
      </c>
      <c r="AF74" s="54">
        <f t="shared" si="76"/>
        <v>0</v>
      </c>
      <c r="AG74" s="54">
        <f t="shared" si="77"/>
        <v>0</v>
      </c>
      <c r="AH74" s="54">
        <f t="shared" si="78"/>
        <v>0</v>
      </c>
      <c r="AI74" s="34" t="s">
        <v>259</v>
      </c>
      <c r="AJ74" s="54">
        <f t="shared" si="79"/>
        <v>0</v>
      </c>
      <c r="AK74" s="54">
        <f t="shared" si="80"/>
        <v>0</v>
      </c>
      <c r="AL74" s="54">
        <f t="shared" si="81"/>
        <v>0</v>
      </c>
      <c r="AN74" s="54">
        <v>21</v>
      </c>
      <c r="AO74" s="54">
        <f>G74*0</f>
        <v>0</v>
      </c>
      <c r="AP74" s="54">
        <f>G74*(1-0)</f>
        <v>0</v>
      </c>
      <c r="AQ74" s="57" t="s">
        <v>110</v>
      </c>
      <c r="AV74" s="54">
        <f t="shared" si="82"/>
        <v>0</v>
      </c>
      <c r="AW74" s="54">
        <f t="shared" si="83"/>
        <v>0</v>
      </c>
      <c r="AX74" s="54">
        <f t="shared" si="84"/>
        <v>0</v>
      </c>
      <c r="AY74" s="57" t="s">
        <v>201</v>
      </c>
      <c r="AZ74" s="57" t="s">
        <v>275</v>
      </c>
      <c r="BA74" s="34" t="s">
        <v>265</v>
      </c>
      <c r="BC74" s="54">
        <f t="shared" si="85"/>
        <v>0</v>
      </c>
      <c r="BD74" s="54">
        <f t="shared" si="86"/>
        <v>0</v>
      </c>
      <c r="BE74" s="54">
        <v>0</v>
      </c>
      <c r="BF74" s="54">
        <f>74</f>
        <v>74</v>
      </c>
      <c r="BH74" s="54">
        <f t="shared" si="87"/>
        <v>0</v>
      </c>
      <c r="BI74" s="54">
        <f t="shared" si="88"/>
        <v>0</v>
      </c>
      <c r="BJ74" s="54">
        <f t="shared" si="89"/>
        <v>0</v>
      </c>
      <c r="BK74" s="57" t="s">
        <v>117</v>
      </c>
      <c r="BL74" s="54">
        <v>18</v>
      </c>
      <c r="BW74" s="54">
        <v>21</v>
      </c>
      <c r="BX74" s="3" t="s">
        <v>292</v>
      </c>
    </row>
    <row r="75" spans="1:76" ht="14.5" x14ac:dyDescent="0.35">
      <c r="A75" s="49" t="s">
        <v>4</v>
      </c>
      <c r="B75" s="50" t="s">
        <v>161</v>
      </c>
      <c r="C75" s="158" t="s">
        <v>162</v>
      </c>
      <c r="D75" s="159"/>
      <c r="E75" s="51" t="s">
        <v>70</v>
      </c>
      <c r="F75" s="51" t="s">
        <v>70</v>
      </c>
      <c r="G75" s="52" t="s">
        <v>70</v>
      </c>
      <c r="H75" s="28">
        <f>ROUND(SUM(H76:H76),2)</f>
        <v>0</v>
      </c>
      <c r="I75" s="28">
        <f>ROUND(SUM(I76:I76),2)</f>
        <v>0</v>
      </c>
      <c r="J75" s="28">
        <f>ROUND(SUM(J76:J76),2)</f>
        <v>0</v>
      </c>
      <c r="K75" s="53" t="s">
        <v>4</v>
      </c>
      <c r="AI75" s="34" t="s">
        <v>259</v>
      </c>
      <c r="AS75" s="28">
        <f>SUM(AJ76:AJ76)</f>
        <v>0</v>
      </c>
      <c r="AT75" s="28">
        <f>SUM(AK76:AK76)</f>
        <v>0</v>
      </c>
      <c r="AU75" s="28">
        <f>SUM(AL76:AL76)</f>
        <v>0</v>
      </c>
    </row>
    <row r="76" spans="1:76" ht="14.5" x14ac:dyDescent="0.35">
      <c r="A76" s="1" t="s">
        <v>293</v>
      </c>
      <c r="B76" s="2" t="s">
        <v>164</v>
      </c>
      <c r="C76" s="80" t="s">
        <v>165</v>
      </c>
      <c r="D76" s="75"/>
      <c r="E76" s="2" t="s">
        <v>166</v>
      </c>
      <c r="F76" s="54">
        <v>16.7</v>
      </c>
      <c r="G76" s="55">
        <v>0</v>
      </c>
      <c r="H76" s="54">
        <f>ROUND(F76*AO76,2)</f>
        <v>0</v>
      </c>
      <c r="I76" s="54">
        <f>ROUND(F76*AP76,2)</f>
        <v>0</v>
      </c>
      <c r="J76" s="54">
        <f>ROUND(F76*G76,2)</f>
        <v>0</v>
      </c>
      <c r="K76" s="56" t="s">
        <v>121</v>
      </c>
      <c r="Z76" s="54">
        <f>ROUND(IF(AQ76="5",BJ76,0),2)</f>
        <v>0</v>
      </c>
      <c r="AB76" s="54">
        <f>ROUND(IF(AQ76="1",BH76,0),2)</f>
        <v>0</v>
      </c>
      <c r="AC76" s="54">
        <f>ROUND(IF(AQ76="1",BI76,0),2)</f>
        <v>0</v>
      </c>
      <c r="AD76" s="54">
        <f>ROUND(IF(AQ76="7",BH76,0),2)</f>
        <v>0</v>
      </c>
      <c r="AE76" s="54">
        <f>ROUND(IF(AQ76="7",BI76,0),2)</f>
        <v>0</v>
      </c>
      <c r="AF76" s="54">
        <f>ROUND(IF(AQ76="2",BH76,0),2)</f>
        <v>0</v>
      </c>
      <c r="AG76" s="54">
        <f>ROUND(IF(AQ76="2",BI76,0),2)</f>
        <v>0</v>
      </c>
      <c r="AH76" s="54">
        <f>ROUND(IF(AQ76="0",BJ76,0),2)</f>
        <v>0</v>
      </c>
      <c r="AI76" s="34" t="s">
        <v>259</v>
      </c>
      <c r="AJ76" s="54">
        <f>IF(AN76=0,J76,0)</f>
        <v>0</v>
      </c>
      <c r="AK76" s="54">
        <f>IF(AN76=12,J76,0)</f>
        <v>0</v>
      </c>
      <c r="AL76" s="54">
        <f>IF(AN76=21,J76,0)</f>
        <v>0</v>
      </c>
      <c r="AN76" s="54">
        <v>21</v>
      </c>
      <c r="AO76" s="54">
        <f>G76*0</f>
        <v>0</v>
      </c>
      <c r="AP76" s="54">
        <f>G76*(1-0)</f>
        <v>0</v>
      </c>
      <c r="AQ76" s="57" t="s">
        <v>128</v>
      </c>
      <c r="AV76" s="54">
        <f>ROUND(AW76+AX76,2)</f>
        <v>0</v>
      </c>
      <c r="AW76" s="54">
        <f>ROUND(F76*AO76,2)</f>
        <v>0</v>
      </c>
      <c r="AX76" s="54">
        <f>ROUND(F76*AP76,2)</f>
        <v>0</v>
      </c>
      <c r="AY76" s="57" t="s">
        <v>167</v>
      </c>
      <c r="AZ76" s="57" t="s">
        <v>294</v>
      </c>
      <c r="BA76" s="34" t="s">
        <v>265</v>
      </c>
      <c r="BC76" s="54">
        <f>AW76+AX76</f>
        <v>0</v>
      </c>
      <c r="BD76" s="54">
        <f>G76/(100-BE76)*100</f>
        <v>0</v>
      </c>
      <c r="BE76" s="54">
        <v>0</v>
      </c>
      <c r="BF76" s="54">
        <f>76</f>
        <v>76</v>
      </c>
      <c r="BH76" s="54">
        <f>F76*AO76</f>
        <v>0</v>
      </c>
      <c r="BI76" s="54">
        <f>F76*AP76</f>
        <v>0</v>
      </c>
      <c r="BJ76" s="54">
        <f>F76*G76</f>
        <v>0</v>
      </c>
      <c r="BK76" s="57" t="s">
        <v>117</v>
      </c>
      <c r="BL76" s="54"/>
      <c r="BW76" s="54">
        <v>21</v>
      </c>
      <c r="BX76" s="3" t="s">
        <v>165</v>
      </c>
    </row>
    <row r="77" spans="1:76" ht="14.5" x14ac:dyDescent="0.35">
      <c r="A77" s="49" t="s">
        <v>4</v>
      </c>
      <c r="B77" s="50" t="s">
        <v>180</v>
      </c>
      <c r="C77" s="158" t="s">
        <v>34</v>
      </c>
      <c r="D77" s="159"/>
      <c r="E77" s="51" t="s">
        <v>70</v>
      </c>
      <c r="F77" s="51" t="s">
        <v>70</v>
      </c>
      <c r="G77" s="52" t="s">
        <v>70</v>
      </c>
      <c r="H77" s="28">
        <f>ROUND(SUM(H78:H82),2)</f>
        <v>0</v>
      </c>
      <c r="I77" s="28">
        <f>ROUND(SUM(I78:I82),2)</f>
        <v>0</v>
      </c>
      <c r="J77" s="28">
        <f>ROUND(SUM(J78:J82),2)</f>
        <v>0</v>
      </c>
      <c r="K77" s="53" t="s">
        <v>4</v>
      </c>
      <c r="AI77" s="34" t="s">
        <v>259</v>
      </c>
      <c r="AS77" s="28">
        <f>SUM(AJ78:AJ82)</f>
        <v>0</v>
      </c>
      <c r="AT77" s="28">
        <f>SUM(AK78:AK82)</f>
        <v>0</v>
      </c>
      <c r="AU77" s="28">
        <f>SUM(AL78:AL82)</f>
        <v>0</v>
      </c>
    </row>
    <row r="78" spans="1:76" ht="25" x14ac:dyDescent="0.35">
      <c r="A78" s="1" t="s">
        <v>295</v>
      </c>
      <c r="B78" s="2" t="s">
        <v>250</v>
      </c>
      <c r="C78" s="80" t="s">
        <v>296</v>
      </c>
      <c r="D78" s="75"/>
      <c r="E78" s="2" t="s">
        <v>174</v>
      </c>
      <c r="F78" s="54">
        <v>3</v>
      </c>
      <c r="G78" s="55">
        <v>0</v>
      </c>
      <c r="H78" s="54">
        <f>ROUND(F78*AO78,2)</f>
        <v>0</v>
      </c>
      <c r="I78" s="54">
        <f>ROUND(F78*AP78,2)</f>
        <v>0</v>
      </c>
      <c r="J78" s="54">
        <f>ROUND(F78*G78,2)</f>
        <v>0</v>
      </c>
      <c r="K78" s="56" t="s">
        <v>121</v>
      </c>
      <c r="Z78" s="54">
        <f>ROUND(IF(AQ78="5",BJ78,0),2)</f>
        <v>0</v>
      </c>
      <c r="AB78" s="54">
        <f>ROUND(IF(AQ78="1",BH78,0),2)</f>
        <v>0</v>
      </c>
      <c r="AC78" s="54">
        <f>ROUND(IF(AQ78="1",BI78,0),2)</f>
        <v>0</v>
      </c>
      <c r="AD78" s="54">
        <f>ROUND(IF(AQ78="7",BH78,0),2)</f>
        <v>0</v>
      </c>
      <c r="AE78" s="54">
        <f>ROUND(IF(AQ78="7",BI78,0),2)</f>
        <v>0</v>
      </c>
      <c r="AF78" s="54">
        <f>ROUND(IF(AQ78="2",BH78,0),2)</f>
        <v>0</v>
      </c>
      <c r="AG78" s="54">
        <f>ROUND(IF(AQ78="2",BI78,0),2)</f>
        <v>0</v>
      </c>
      <c r="AH78" s="54">
        <f>ROUND(IF(AQ78="0",BJ78,0),2)</f>
        <v>0</v>
      </c>
      <c r="AI78" s="34" t="s">
        <v>259</v>
      </c>
      <c r="AJ78" s="54">
        <f>IF(AN78=0,J78,0)</f>
        <v>0</v>
      </c>
      <c r="AK78" s="54">
        <f>IF(AN78=12,J78,0)</f>
        <v>0</v>
      </c>
      <c r="AL78" s="54">
        <f>IF(AN78=21,J78,0)</f>
        <v>0</v>
      </c>
      <c r="AN78" s="54">
        <v>21</v>
      </c>
      <c r="AO78" s="54">
        <f>G78*1</f>
        <v>0</v>
      </c>
      <c r="AP78" s="54">
        <f>G78*(1-1)</f>
        <v>0</v>
      </c>
      <c r="AQ78" s="57" t="s">
        <v>184</v>
      </c>
      <c r="AV78" s="54">
        <f>ROUND(AW78+AX78,2)</f>
        <v>0</v>
      </c>
      <c r="AW78" s="54">
        <f>ROUND(F78*AO78,2)</f>
        <v>0</v>
      </c>
      <c r="AX78" s="54">
        <f>ROUND(F78*AP78,2)</f>
        <v>0</v>
      </c>
      <c r="AY78" s="57" t="s">
        <v>185</v>
      </c>
      <c r="AZ78" s="57" t="s">
        <v>297</v>
      </c>
      <c r="BA78" s="34" t="s">
        <v>265</v>
      </c>
      <c r="BC78" s="54">
        <f>AW78+AX78</f>
        <v>0</v>
      </c>
      <c r="BD78" s="54">
        <f>G78/(100-BE78)*100</f>
        <v>0</v>
      </c>
      <c r="BE78" s="54">
        <v>0</v>
      </c>
      <c r="BF78" s="54">
        <f>78</f>
        <v>78</v>
      </c>
      <c r="BH78" s="54">
        <f>F78*AO78</f>
        <v>0</v>
      </c>
      <c r="BI78" s="54">
        <f>F78*AP78</f>
        <v>0</v>
      </c>
      <c r="BJ78" s="54">
        <f>F78*G78</f>
        <v>0</v>
      </c>
      <c r="BK78" s="57" t="s">
        <v>180</v>
      </c>
      <c r="BL78" s="54"/>
      <c r="BW78" s="54">
        <v>21</v>
      </c>
      <c r="BX78" s="3" t="s">
        <v>296</v>
      </c>
    </row>
    <row r="79" spans="1:76" ht="14.5" x14ac:dyDescent="0.35">
      <c r="A79" s="1" t="s">
        <v>298</v>
      </c>
      <c r="B79" s="2" t="s">
        <v>188</v>
      </c>
      <c r="C79" s="80" t="s">
        <v>299</v>
      </c>
      <c r="D79" s="75"/>
      <c r="E79" s="2" t="s">
        <v>190</v>
      </c>
      <c r="F79" s="54">
        <v>0.1</v>
      </c>
      <c r="G79" s="55">
        <v>0</v>
      </c>
      <c r="H79" s="54">
        <f>ROUND(F79*AO79,2)</f>
        <v>0</v>
      </c>
      <c r="I79" s="54">
        <f>ROUND(F79*AP79,2)</f>
        <v>0</v>
      </c>
      <c r="J79" s="54">
        <f>ROUND(F79*G79,2)</f>
        <v>0</v>
      </c>
      <c r="K79" s="56" t="s">
        <v>4</v>
      </c>
      <c r="Z79" s="54">
        <f>ROUND(IF(AQ79="5",BJ79,0),2)</f>
        <v>0</v>
      </c>
      <c r="AB79" s="54">
        <f>ROUND(IF(AQ79="1",BH79,0),2)</f>
        <v>0</v>
      </c>
      <c r="AC79" s="54">
        <f>ROUND(IF(AQ79="1",BI79,0),2)</f>
        <v>0</v>
      </c>
      <c r="AD79" s="54">
        <f>ROUND(IF(AQ79="7",BH79,0),2)</f>
        <v>0</v>
      </c>
      <c r="AE79" s="54">
        <f>ROUND(IF(AQ79="7",BI79,0),2)</f>
        <v>0</v>
      </c>
      <c r="AF79" s="54">
        <f>ROUND(IF(AQ79="2",BH79,0),2)</f>
        <v>0</v>
      </c>
      <c r="AG79" s="54">
        <f>ROUND(IF(AQ79="2",BI79,0),2)</f>
        <v>0</v>
      </c>
      <c r="AH79" s="54">
        <f>ROUND(IF(AQ79="0",BJ79,0),2)</f>
        <v>0</v>
      </c>
      <c r="AI79" s="34" t="s">
        <v>259</v>
      </c>
      <c r="AJ79" s="54">
        <f>IF(AN79=0,J79,0)</f>
        <v>0</v>
      </c>
      <c r="AK79" s="54">
        <f>IF(AN79=12,J79,0)</f>
        <v>0</v>
      </c>
      <c r="AL79" s="54">
        <f>IF(AN79=21,J79,0)</f>
        <v>0</v>
      </c>
      <c r="AN79" s="54">
        <v>21</v>
      </c>
      <c r="AO79" s="54">
        <f>G79*1</f>
        <v>0</v>
      </c>
      <c r="AP79" s="54">
        <f>G79*(1-1)</f>
        <v>0</v>
      </c>
      <c r="AQ79" s="57" t="s">
        <v>184</v>
      </c>
      <c r="AV79" s="54">
        <f>ROUND(AW79+AX79,2)</f>
        <v>0</v>
      </c>
      <c r="AW79" s="54">
        <f>ROUND(F79*AO79,2)</f>
        <v>0</v>
      </c>
      <c r="AX79" s="54">
        <f>ROUND(F79*AP79,2)</f>
        <v>0</v>
      </c>
      <c r="AY79" s="57" t="s">
        <v>185</v>
      </c>
      <c r="AZ79" s="57" t="s">
        <v>297</v>
      </c>
      <c r="BA79" s="34" t="s">
        <v>265</v>
      </c>
      <c r="BC79" s="54">
        <f>AW79+AX79</f>
        <v>0</v>
      </c>
      <c r="BD79" s="54">
        <f>G79/(100-BE79)*100</f>
        <v>0</v>
      </c>
      <c r="BE79" s="54">
        <v>0</v>
      </c>
      <c r="BF79" s="54">
        <f>79</f>
        <v>79</v>
      </c>
      <c r="BH79" s="54">
        <f>F79*AO79</f>
        <v>0</v>
      </c>
      <c r="BI79" s="54">
        <f>F79*AP79</f>
        <v>0</v>
      </c>
      <c r="BJ79" s="54">
        <f>F79*G79</f>
        <v>0</v>
      </c>
      <c r="BK79" s="57" t="s">
        <v>180</v>
      </c>
      <c r="BL79" s="54"/>
      <c r="BW79" s="54">
        <v>21</v>
      </c>
      <c r="BX79" s="3" t="s">
        <v>299</v>
      </c>
    </row>
    <row r="80" spans="1:76" ht="14.5" x14ac:dyDescent="0.35">
      <c r="A80" s="1" t="s">
        <v>300</v>
      </c>
      <c r="B80" s="2" t="s">
        <v>247</v>
      </c>
      <c r="C80" s="80" t="s">
        <v>248</v>
      </c>
      <c r="D80" s="75"/>
      <c r="E80" s="2" t="s">
        <v>174</v>
      </c>
      <c r="F80" s="54">
        <v>1.2</v>
      </c>
      <c r="G80" s="55">
        <v>0</v>
      </c>
      <c r="H80" s="54">
        <f>ROUND(F80*AO80,2)</f>
        <v>0</v>
      </c>
      <c r="I80" s="54">
        <f>ROUND(F80*AP80,2)</f>
        <v>0</v>
      </c>
      <c r="J80" s="54">
        <f>ROUND(F80*G80,2)</f>
        <v>0</v>
      </c>
      <c r="K80" s="56" t="s">
        <v>121</v>
      </c>
      <c r="Z80" s="54">
        <f>ROUND(IF(AQ80="5",BJ80,0),2)</f>
        <v>0</v>
      </c>
      <c r="AB80" s="54">
        <f>ROUND(IF(AQ80="1",BH80,0),2)</f>
        <v>0</v>
      </c>
      <c r="AC80" s="54">
        <f>ROUND(IF(AQ80="1",BI80,0),2)</f>
        <v>0</v>
      </c>
      <c r="AD80" s="54">
        <f>ROUND(IF(AQ80="7",BH80,0),2)</f>
        <v>0</v>
      </c>
      <c r="AE80" s="54">
        <f>ROUND(IF(AQ80="7",BI80,0),2)</f>
        <v>0</v>
      </c>
      <c r="AF80" s="54">
        <f>ROUND(IF(AQ80="2",BH80,0),2)</f>
        <v>0</v>
      </c>
      <c r="AG80" s="54">
        <f>ROUND(IF(AQ80="2",BI80,0),2)</f>
        <v>0</v>
      </c>
      <c r="AH80" s="54">
        <f>ROUND(IF(AQ80="0",BJ80,0),2)</f>
        <v>0</v>
      </c>
      <c r="AI80" s="34" t="s">
        <v>259</v>
      </c>
      <c r="AJ80" s="54">
        <f>IF(AN80=0,J80,0)</f>
        <v>0</v>
      </c>
      <c r="AK80" s="54">
        <f>IF(AN80=12,J80,0)</f>
        <v>0</v>
      </c>
      <c r="AL80" s="54">
        <f>IF(AN80=21,J80,0)</f>
        <v>0</v>
      </c>
      <c r="AN80" s="54">
        <v>21</v>
      </c>
      <c r="AO80" s="54">
        <f>G80*1</f>
        <v>0</v>
      </c>
      <c r="AP80" s="54">
        <f>G80*(1-1)</f>
        <v>0</v>
      </c>
      <c r="AQ80" s="57" t="s">
        <v>184</v>
      </c>
      <c r="AV80" s="54">
        <f>ROUND(AW80+AX80,2)</f>
        <v>0</v>
      </c>
      <c r="AW80" s="54">
        <f>ROUND(F80*AO80,2)</f>
        <v>0</v>
      </c>
      <c r="AX80" s="54">
        <f>ROUND(F80*AP80,2)</f>
        <v>0</v>
      </c>
      <c r="AY80" s="57" t="s">
        <v>185</v>
      </c>
      <c r="AZ80" s="57" t="s">
        <v>297</v>
      </c>
      <c r="BA80" s="34" t="s">
        <v>265</v>
      </c>
      <c r="BC80" s="54">
        <f>AW80+AX80</f>
        <v>0</v>
      </c>
      <c r="BD80" s="54">
        <f>G80/(100-BE80)*100</f>
        <v>0</v>
      </c>
      <c r="BE80" s="54">
        <v>0</v>
      </c>
      <c r="BF80" s="54">
        <f>80</f>
        <v>80</v>
      </c>
      <c r="BH80" s="54">
        <f>F80*AO80</f>
        <v>0</v>
      </c>
      <c r="BI80" s="54">
        <f>F80*AP80</f>
        <v>0</v>
      </c>
      <c r="BJ80" s="54">
        <f>F80*G80</f>
        <v>0</v>
      </c>
      <c r="BK80" s="57" t="s">
        <v>180</v>
      </c>
      <c r="BL80" s="54"/>
      <c r="BW80" s="54">
        <v>21</v>
      </c>
      <c r="BX80" s="3" t="s">
        <v>248</v>
      </c>
    </row>
    <row r="81" spans="1:76" ht="14.5" x14ac:dyDescent="0.35">
      <c r="A81" s="1" t="s">
        <v>301</v>
      </c>
      <c r="B81" s="2" t="s">
        <v>302</v>
      </c>
      <c r="C81" s="80" t="s">
        <v>303</v>
      </c>
      <c r="D81" s="75"/>
      <c r="E81" s="2" t="s">
        <v>174</v>
      </c>
      <c r="F81" s="54">
        <v>1.9</v>
      </c>
      <c r="G81" s="55">
        <v>0</v>
      </c>
      <c r="H81" s="54">
        <f>ROUND(F81*AO81,2)</f>
        <v>0</v>
      </c>
      <c r="I81" s="54">
        <f>ROUND(F81*AP81,2)</f>
        <v>0</v>
      </c>
      <c r="J81" s="54">
        <f>ROUND(F81*G81,2)</f>
        <v>0</v>
      </c>
      <c r="K81" s="56" t="s">
        <v>121</v>
      </c>
      <c r="Z81" s="54">
        <f>ROUND(IF(AQ81="5",BJ81,0),2)</f>
        <v>0</v>
      </c>
      <c r="AB81" s="54">
        <f>ROUND(IF(AQ81="1",BH81,0),2)</f>
        <v>0</v>
      </c>
      <c r="AC81" s="54">
        <f>ROUND(IF(AQ81="1",BI81,0),2)</f>
        <v>0</v>
      </c>
      <c r="AD81" s="54">
        <f>ROUND(IF(AQ81="7",BH81,0),2)</f>
        <v>0</v>
      </c>
      <c r="AE81" s="54">
        <f>ROUND(IF(AQ81="7",BI81,0),2)</f>
        <v>0</v>
      </c>
      <c r="AF81" s="54">
        <f>ROUND(IF(AQ81="2",BH81,0),2)</f>
        <v>0</v>
      </c>
      <c r="AG81" s="54">
        <f>ROUND(IF(AQ81="2",BI81,0),2)</f>
        <v>0</v>
      </c>
      <c r="AH81" s="54">
        <f>ROUND(IF(AQ81="0",BJ81,0),2)</f>
        <v>0</v>
      </c>
      <c r="AI81" s="34" t="s">
        <v>259</v>
      </c>
      <c r="AJ81" s="54">
        <f>IF(AN81=0,J81,0)</f>
        <v>0</v>
      </c>
      <c r="AK81" s="54">
        <f>IF(AN81=12,J81,0)</f>
        <v>0</v>
      </c>
      <c r="AL81" s="54">
        <f>IF(AN81=21,J81,0)</f>
        <v>0</v>
      </c>
      <c r="AN81" s="54">
        <v>21</v>
      </c>
      <c r="AO81" s="54">
        <f>G81*1</f>
        <v>0</v>
      </c>
      <c r="AP81" s="54">
        <f>G81*(1-1)</f>
        <v>0</v>
      </c>
      <c r="AQ81" s="57" t="s">
        <v>184</v>
      </c>
      <c r="AV81" s="54">
        <f>ROUND(AW81+AX81,2)</f>
        <v>0</v>
      </c>
      <c r="AW81" s="54">
        <f>ROUND(F81*AO81,2)</f>
        <v>0</v>
      </c>
      <c r="AX81" s="54">
        <f>ROUND(F81*AP81,2)</f>
        <v>0</v>
      </c>
      <c r="AY81" s="57" t="s">
        <v>185</v>
      </c>
      <c r="AZ81" s="57" t="s">
        <v>297</v>
      </c>
      <c r="BA81" s="34" t="s">
        <v>265</v>
      </c>
      <c r="BC81" s="54">
        <f>AW81+AX81</f>
        <v>0</v>
      </c>
      <c r="BD81" s="54">
        <f>G81/(100-BE81)*100</f>
        <v>0</v>
      </c>
      <c r="BE81" s="54">
        <v>0</v>
      </c>
      <c r="BF81" s="54">
        <f>81</f>
        <v>81</v>
      </c>
      <c r="BH81" s="54">
        <f>F81*AO81</f>
        <v>0</v>
      </c>
      <c r="BI81" s="54">
        <f>F81*AP81</f>
        <v>0</v>
      </c>
      <c r="BJ81" s="54">
        <f>F81*G81</f>
        <v>0</v>
      </c>
      <c r="BK81" s="57" t="s">
        <v>180</v>
      </c>
      <c r="BL81" s="54"/>
      <c r="BW81" s="54">
        <v>21</v>
      </c>
      <c r="BX81" s="3" t="s">
        <v>303</v>
      </c>
    </row>
    <row r="82" spans="1:76" ht="14.5" x14ac:dyDescent="0.35">
      <c r="A82" s="1" t="s">
        <v>304</v>
      </c>
      <c r="B82" s="2" t="s">
        <v>305</v>
      </c>
      <c r="C82" s="80" t="s">
        <v>306</v>
      </c>
      <c r="D82" s="75"/>
      <c r="E82" s="2" t="s">
        <v>224</v>
      </c>
      <c r="F82" s="54">
        <v>38</v>
      </c>
      <c r="G82" s="55">
        <v>0</v>
      </c>
      <c r="H82" s="54">
        <f>ROUND(F82*AO82,2)</f>
        <v>0</v>
      </c>
      <c r="I82" s="54">
        <f>ROUND(F82*AP82,2)</f>
        <v>0</v>
      </c>
      <c r="J82" s="54">
        <f>ROUND(F82*G82,2)</f>
        <v>0</v>
      </c>
      <c r="K82" s="56" t="s">
        <v>4</v>
      </c>
      <c r="Z82" s="54">
        <f>ROUND(IF(AQ82="5",BJ82,0),2)</f>
        <v>0</v>
      </c>
      <c r="AB82" s="54">
        <f>ROUND(IF(AQ82="1",BH82,0),2)</f>
        <v>0</v>
      </c>
      <c r="AC82" s="54">
        <f>ROUND(IF(AQ82="1",BI82,0),2)</f>
        <v>0</v>
      </c>
      <c r="AD82" s="54">
        <f>ROUND(IF(AQ82="7",BH82,0),2)</f>
        <v>0</v>
      </c>
      <c r="AE82" s="54">
        <f>ROUND(IF(AQ82="7",BI82,0),2)</f>
        <v>0</v>
      </c>
      <c r="AF82" s="54">
        <f>ROUND(IF(AQ82="2",BH82,0),2)</f>
        <v>0</v>
      </c>
      <c r="AG82" s="54">
        <f>ROUND(IF(AQ82="2",BI82,0),2)</f>
        <v>0</v>
      </c>
      <c r="AH82" s="54">
        <f>ROUND(IF(AQ82="0",BJ82,0),2)</f>
        <v>0</v>
      </c>
      <c r="AI82" s="34" t="s">
        <v>259</v>
      </c>
      <c r="AJ82" s="54">
        <f>IF(AN82=0,J82,0)</f>
        <v>0</v>
      </c>
      <c r="AK82" s="54">
        <f>IF(AN82=12,J82,0)</f>
        <v>0</v>
      </c>
      <c r="AL82" s="54">
        <f>IF(AN82=21,J82,0)</f>
        <v>0</v>
      </c>
      <c r="AN82" s="54">
        <v>21</v>
      </c>
      <c r="AO82" s="54">
        <f>G82*1</f>
        <v>0</v>
      </c>
      <c r="AP82" s="54">
        <f>G82*(1-1)</f>
        <v>0</v>
      </c>
      <c r="AQ82" s="57" t="s">
        <v>184</v>
      </c>
      <c r="AV82" s="54">
        <f>ROUND(AW82+AX82,2)</f>
        <v>0</v>
      </c>
      <c r="AW82" s="54">
        <f>ROUND(F82*AO82,2)</f>
        <v>0</v>
      </c>
      <c r="AX82" s="54">
        <f>ROUND(F82*AP82,2)</f>
        <v>0</v>
      </c>
      <c r="AY82" s="57" t="s">
        <v>185</v>
      </c>
      <c r="AZ82" s="57" t="s">
        <v>297</v>
      </c>
      <c r="BA82" s="34" t="s">
        <v>265</v>
      </c>
      <c r="BC82" s="54">
        <f>AW82+AX82</f>
        <v>0</v>
      </c>
      <c r="BD82" s="54">
        <f>G82/(100-BE82)*100</f>
        <v>0</v>
      </c>
      <c r="BE82" s="54">
        <v>0</v>
      </c>
      <c r="BF82" s="54">
        <f>82</f>
        <v>82</v>
      </c>
      <c r="BH82" s="54">
        <f>F82*AO82</f>
        <v>0</v>
      </c>
      <c r="BI82" s="54">
        <f>F82*AP82</f>
        <v>0</v>
      </c>
      <c r="BJ82" s="54">
        <f>F82*G82</f>
        <v>0</v>
      </c>
      <c r="BK82" s="57" t="s">
        <v>180</v>
      </c>
      <c r="BL82" s="54"/>
      <c r="BW82" s="54">
        <v>21</v>
      </c>
      <c r="BX82" s="3" t="s">
        <v>306</v>
      </c>
    </row>
    <row r="83" spans="1:76" ht="14.5" x14ac:dyDescent="0.35">
      <c r="A83" s="60" t="s">
        <v>4</v>
      </c>
      <c r="B83" s="61" t="s">
        <v>4</v>
      </c>
      <c r="C83" s="164" t="s">
        <v>307</v>
      </c>
      <c r="D83" s="165"/>
      <c r="E83" s="62" t="s">
        <v>70</v>
      </c>
      <c r="F83" s="62" t="s">
        <v>70</v>
      </c>
      <c r="G83" s="52" t="s">
        <v>70</v>
      </c>
      <c r="H83" s="63">
        <f>ROUND(SUM(H84,H88,H97,H99),2)</f>
        <v>0</v>
      </c>
      <c r="I83" s="63">
        <f>ROUND(SUM(I84,I88,I97,I99),2)</f>
        <v>0</v>
      </c>
      <c r="J83" s="63">
        <f>ROUND(SUM(J84,J88,J97,J99),2)</f>
        <v>0</v>
      </c>
      <c r="K83" s="64" t="s">
        <v>4</v>
      </c>
    </row>
    <row r="84" spans="1:76" ht="14.5" x14ac:dyDescent="0.35">
      <c r="A84" s="49" t="s">
        <v>4</v>
      </c>
      <c r="B84" s="50" t="s">
        <v>156</v>
      </c>
      <c r="C84" s="158" t="s">
        <v>258</v>
      </c>
      <c r="D84" s="159"/>
      <c r="E84" s="51" t="s">
        <v>70</v>
      </c>
      <c r="F84" s="51" t="s">
        <v>70</v>
      </c>
      <c r="G84" s="52" t="s">
        <v>70</v>
      </c>
      <c r="H84" s="28">
        <f>ROUND(SUM(H85:H87),2)</f>
        <v>0</v>
      </c>
      <c r="I84" s="28">
        <f>ROUND(SUM(I85:I87),2)</f>
        <v>0</v>
      </c>
      <c r="J84" s="28">
        <f>ROUND(SUM(J85:J87),2)</f>
        <v>0</v>
      </c>
      <c r="K84" s="53" t="s">
        <v>4</v>
      </c>
      <c r="AI84" s="34" t="s">
        <v>308</v>
      </c>
      <c r="AS84" s="28">
        <f>SUM(AJ85:AJ87)</f>
        <v>0</v>
      </c>
      <c r="AT84" s="28">
        <f>SUM(AK85:AK87)</f>
        <v>0</v>
      </c>
      <c r="AU84" s="28">
        <f>SUM(AL85:AL87)</f>
        <v>0</v>
      </c>
    </row>
    <row r="85" spans="1:76" ht="25" x14ac:dyDescent="0.35">
      <c r="A85" s="1" t="s">
        <v>309</v>
      </c>
      <c r="B85" s="2" t="s">
        <v>261</v>
      </c>
      <c r="C85" s="80" t="s">
        <v>310</v>
      </c>
      <c r="D85" s="75"/>
      <c r="E85" s="2" t="s">
        <v>174</v>
      </c>
      <c r="F85" s="54">
        <v>7.2</v>
      </c>
      <c r="G85" s="55">
        <v>0</v>
      </c>
      <c r="H85" s="54">
        <f>ROUND(F85*AO85,2)</f>
        <v>0</v>
      </c>
      <c r="I85" s="54">
        <f>ROUND(F85*AP85,2)</f>
        <v>0</v>
      </c>
      <c r="J85" s="54">
        <f>ROUND(F85*G85,2)</f>
        <v>0</v>
      </c>
      <c r="K85" s="56" t="s">
        <v>121</v>
      </c>
      <c r="Z85" s="54">
        <f>ROUND(IF(AQ85="5",BJ85,0),2)</f>
        <v>0</v>
      </c>
      <c r="AB85" s="54">
        <f>ROUND(IF(AQ85="1",BH85,0),2)</f>
        <v>0</v>
      </c>
      <c r="AC85" s="54">
        <f>ROUND(IF(AQ85="1",BI85,0),2)</f>
        <v>0</v>
      </c>
      <c r="AD85" s="54">
        <f>ROUND(IF(AQ85="7",BH85,0),2)</f>
        <v>0</v>
      </c>
      <c r="AE85" s="54">
        <f>ROUND(IF(AQ85="7",BI85,0),2)</f>
        <v>0</v>
      </c>
      <c r="AF85" s="54">
        <f>ROUND(IF(AQ85="2",BH85,0),2)</f>
        <v>0</v>
      </c>
      <c r="AG85" s="54">
        <f>ROUND(IF(AQ85="2",BI85,0),2)</f>
        <v>0</v>
      </c>
      <c r="AH85" s="54">
        <f>ROUND(IF(AQ85="0",BJ85,0),2)</f>
        <v>0</v>
      </c>
      <c r="AI85" s="34" t="s">
        <v>308</v>
      </c>
      <c r="AJ85" s="54">
        <f>IF(AN85=0,J85,0)</f>
        <v>0</v>
      </c>
      <c r="AK85" s="54">
        <f>IF(AN85=12,J85,0)</f>
        <v>0</v>
      </c>
      <c r="AL85" s="54">
        <f>IF(AN85=21,J85,0)</f>
        <v>0</v>
      </c>
      <c r="AN85" s="54">
        <v>21</v>
      </c>
      <c r="AO85" s="54">
        <f>G85*0</f>
        <v>0</v>
      </c>
      <c r="AP85" s="54">
        <f>G85*(1-0)</f>
        <v>0</v>
      </c>
      <c r="AQ85" s="57" t="s">
        <v>110</v>
      </c>
      <c r="AV85" s="54">
        <f>ROUND(AW85+AX85,2)</f>
        <v>0</v>
      </c>
      <c r="AW85" s="54">
        <f>ROUND(F85*AO85,2)</f>
        <v>0</v>
      </c>
      <c r="AX85" s="54">
        <f>ROUND(F85*AP85,2)</f>
        <v>0</v>
      </c>
      <c r="AY85" s="57" t="s">
        <v>263</v>
      </c>
      <c r="AZ85" s="57" t="s">
        <v>311</v>
      </c>
      <c r="BA85" s="34" t="s">
        <v>312</v>
      </c>
      <c r="BC85" s="54">
        <f>AW85+AX85</f>
        <v>0</v>
      </c>
      <c r="BD85" s="54">
        <f>G85/(100-BE85)*100</f>
        <v>0</v>
      </c>
      <c r="BE85" s="54">
        <v>0</v>
      </c>
      <c r="BF85" s="54">
        <f>85</f>
        <v>85</v>
      </c>
      <c r="BH85" s="54">
        <f>F85*AO85</f>
        <v>0</v>
      </c>
      <c r="BI85" s="54">
        <f>F85*AP85</f>
        <v>0</v>
      </c>
      <c r="BJ85" s="54">
        <f>F85*G85</f>
        <v>0</v>
      </c>
      <c r="BK85" s="57" t="s">
        <v>117</v>
      </c>
      <c r="BL85" s="54">
        <v>12</v>
      </c>
      <c r="BW85" s="54">
        <v>21</v>
      </c>
      <c r="BX85" s="3" t="s">
        <v>310</v>
      </c>
    </row>
    <row r="86" spans="1:76" ht="14.5" x14ac:dyDescent="0.35">
      <c r="A86" s="1" t="s">
        <v>313</v>
      </c>
      <c r="B86" s="2" t="s">
        <v>267</v>
      </c>
      <c r="C86" s="80" t="s">
        <v>314</v>
      </c>
      <c r="D86" s="75"/>
      <c r="E86" s="2" t="s">
        <v>174</v>
      </c>
      <c r="F86" s="54">
        <v>8.8000000000000007</v>
      </c>
      <c r="G86" s="55">
        <v>0</v>
      </c>
      <c r="H86" s="54">
        <f>ROUND(F86*AO86,2)</f>
        <v>0</v>
      </c>
      <c r="I86" s="54">
        <f>ROUND(F86*AP86,2)</f>
        <v>0</v>
      </c>
      <c r="J86" s="54">
        <f>ROUND(F86*G86,2)</f>
        <v>0</v>
      </c>
      <c r="K86" s="56" t="s">
        <v>121</v>
      </c>
      <c r="Z86" s="54">
        <f>ROUND(IF(AQ86="5",BJ86,0),2)</f>
        <v>0</v>
      </c>
      <c r="AB86" s="54">
        <f>ROUND(IF(AQ86="1",BH86,0),2)</f>
        <v>0</v>
      </c>
      <c r="AC86" s="54">
        <f>ROUND(IF(AQ86="1",BI86,0),2)</f>
        <v>0</v>
      </c>
      <c r="AD86" s="54">
        <f>ROUND(IF(AQ86="7",BH86,0),2)</f>
        <v>0</v>
      </c>
      <c r="AE86" s="54">
        <f>ROUND(IF(AQ86="7",BI86,0),2)</f>
        <v>0</v>
      </c>
      <c r="AF86" s="54">
        <f>ROUND(IF(AQ86="2",BH86,0),2)</f>
        <v>0</v>
      </c>
      <c r="AG86" s="54">
        <f>ROUND(IF(AQ86="2",BI86,0),2)</f>
        <v>0</v>
      </c>
      <c r="AH86" s="54">
        <f>ROUND(IF(AQ86="0",BJ86,0),2)</f>
        <v>0</v>
      </c>
      <c r="AI86" s="34" t="s">
        <v>308</v>
      </c>
      <c r="AJ86" s="54">
        <f>IF(AN86=0,J86,0)</f>
        <v>0</v>
      </c>
      <c r="AK86" s="54">
        <f>IF(AN86=12,J86,0)</f>
        <v>0</v>
      </c>
      <c r="AL86" s="54">
        <f>IF(AN86=21,J86,0)</f>
        <v>0</v>
      </c>
      <c r="AN86" s="54">
        <v>21</v>
      </c>
      <c r="AO86" s="54">
        <f>G86*0</f>
        <v>0</v>
      </c>
      <c r="AP86" s="54">
        <f>G86*(1-0)</f>
        <v>0</v>
      </c>
      <c r="AQ86" s="57" t="s">
        <v>110</v>
      </c>
      <c r="AV86" s="54">
        <f>ROUND(AW86+AX86,2)</f>
        <v>0</v>
      </c>
      <c r="AW86" s="54">
        <f>ROUND(F86*AO86,2)</f>
        <v>0</v>
      </c>
      <c r="AX86" s="54">
        <f>ROUND(F86*AP86,2)</f>
        <v>0</v>
      </c>
      <c r="AY86" s="57" t="s">
        <v>263</v>
      </c>
      <c r="AZ86" s="57" t="s">
        <v>311</v>
      </c>
      <c r="BA86" s="34" t="s">
        <v>312</v>
      </c>
      <c r="BC86" s="54">
        <f>AW86+AX86</f>
        <v>0</v>
      </c>
      <c r="BD86" s="54">
        <f>G86/(100-BE86)*100</f>
        <v>0</v>
      </c>
      <c r="BE86" s="54">
        <v>0</v>
      </c>
      <c r="BF86" s="54">
        <f>86</f>
        <v>86</v>
      </c>
      <c r="BH86" s="54">
        <f>F86*AO86</f>
        <v>0</v>
      </c>
      <c r="BI86" s="54">
        <f>F86*AP86</f>
        <v>0</v>
      </c>
      <c r="BJ86" s="54">
        <f>F86*G86</f>
        <v>0</v>
      </c>
      <c r="BK86" s="57" t="s">
        <v>117</v>
      </c>
      <c r="BL86" s="54">
        <v>12</v>
      </c>
      <c r="BW86" s="54">
        <v>21</v>
      </c>
      <c r="BX86" s="3" t="s">
        <v>314</v>
      </c>
    </row>
    <row r="87" spans="1:76" ht="14.5" x14ac:dyDescent="0.35">
      <c r="A87" s="1" t="s">
        <v>315</v>
      </c>
      <c r="B87" s="2" t="s">
        <v>270</v>
      </c>
      <c r="C87" s="80" t="s">
        <v>271</v>
      </c>
      <c r="D87" s="75"/>
      <c r="E87" s="2" t="s">
        <v>174</v>
      </c>
      <c r="F87" s="54">
        <v>8.8000000000000007</v>
      </c>
      <c r="G87" s="55">
        <v>0</v>
      </c>
      <c r="H87" s="54">
        <f>ROUND(F87*AO87,2)</f>
        <v>0</v>
      </c>
      <c r="I87" s="54">
        <f>ROUND(F87*AP87,2)</f>
        <v>0</v>
      </c>
      <c r="J87" s="54">
        <f>ROUND(F87*G87,2)</f>
        <v>0</v>
      </c>
      <c r="K87" s="56" t="s">
        <v>121</v>
      </c>
      <c r="Z87" s="54">
        <f>ROUND(IF(AQ87="5",BJ87,0),2)</f>
        <v>0</v>
      </c>
      <c r="AB87" s="54">
        <f>ROUND(IF(AQ87="1",BH87,0),2)</f>
        <v>0</v>
      </c>
      <c r="AC87" s="54">
        <f>ROUND(IF(AQ87="1",BI87,0),2)</f>
        <v>0</v>
      </c>
      <c r="AD87" s="54">
        <f>ROUND(IF(AQ87="7",BH87,0),2)</f>
        <v>0</v>
      </c>
      <c r="AE87" s="54">
        <f>ROUND(IF(AQ87="7",BI87,0),2)</f>
        <v>0</v>
      </c>
      <c r="AF87" s="54">
        <f>ROUND(IF(AQ87="2",BH87,0),2)</f>
        <v>0</v>
      </c>
      <c r="AG87" s="54">
        <f>ROUND(IF(AQ87="2",BI87,0),2)</f>
        <v>0</v>
      </c>
      <c r="AH87" s="54">
        <f>ROUND(IF(AQ87="0",BJ87,0),2)</f>
        <v>0</v>
      </c>
      <c r="AI87" s="34" t="s">
        <v>308</v>
      </c>
      <c r="AJ87" s="54">
        <f>IF(AN87=0,J87,0)</f>
        <v>0</v>
      </c>
      <c r="AK87" s="54">
        <f>IF(AN87=12,J87,0)</f>
        <v>0</v>
      </c>
      <c r="AL87" s="54">
        <f>IF(AN87=21,J87,0)</f>
        <v>0</v>
      </c>
      <c r="AN87" s="54">
        <v>21</v>
      </c>
      <c r="AO87" s="54">
        <f>G87*0</f>
        <v>0</v>
      </c>
      <c r="AP87" s="54">
        <f>G87*(1-0)</f>
        <v>0</v>
      </c>
      <c r="AQ87" s="57" t="s">
        <v>110</v>
      </c>
      <c r="AV87" s="54">
        <f>ROUND(AW87+AX87,2)</f>
        <v>0</v>
      </c>
      <c r="AW87" s="54">
        <f>ROUND(F87*AO87,2)</f>
        <v>0</v>
      </c>
      <c r="AX87" s="54">
        <f>ROUND(F87*AP87,2)</f>
        <v>0</v>
      </c>
      <c r="AY87" s="57" t="s">
        <v>263</v>
      </c>
      <c r="AZ87" s="57" t="s">
        <v>311</v>
      </c>
      <c r="BA87" s="34" t="s">
        <v>312</v>
      </c>
      <c r="BC87" s="54">
        <f>AW87+AX87</f>
        <v>0</v>
      </c>
      <c r="BD87" s="54">
        <f>G87/(100-BE87)*100</f>
        <v>0</v>
      </c>
      <c r="BE87" s="54">
        <v>0</v>
      </c>
      <c r="BF87" s="54">
        <f>87</f>
        <v>87</v>
      </c>
      <c r="BH87" s="54">
        <f>F87*AO87</f>
        <v>0</v>
      </c>
      <c r="BI87" s="54">
        <f>F87*AP87</f>
        <v>0</v>
      </c>
      <c r="BJ87" s="54">
        <f>F87*G87</f>
        <v>0</v>
      </c>
      <c r="BK87" s="57" t="s">
        <v>117</v>
      </c>
      <c r="BL87" s="54">
        <v>12</v>
      </c>
      <c r="BW87" s="54">
        <v>21</v>
      </c>
      <c r="BX87" s="3" t="s">
        <v>271</v>
      </c>
    </row>
    <row r="88" spans="1:76" ht="14.5" x14ac:dyDescent="0.35">
      <c r="A88" s="49" t="s">
        <v>4</v>
      </c>
      <c r="B88" s="50" t="s">
        <v>191</v>
      </c>
      <c r="C88" s="158" t="s">
        <v>196</v>
      </c>
      <c r="D88" s="159"/>
      <c r="E88" s="51" t="s">
        <v>70</v>
      </c>
      <c r="F88" s="51" t="s">
        <v>70</v>
      </c>
      <c r="G88" s="52" t="s">
        <v>70</v>
      </c>
      <c r="H88" s="28">
        <f>ROUND(SUM(H89:H96),2)</f>
        <v>0</v>
      </c>
      <c r="I88" s="28">
        <f>ROUND(SUM(I89:I96),2)</f>
        <v>0</v>
      </c>
      <c r="J88" s="28">
        <f>ROUND(SUM(J89:J96),2)</f>
        <v>0</v>
      </c>
      <c r="K88" s="53" t="s">
        <v>4</v>
      </c>
      <c r="AI88" s="34" t="s">
        <v>308</v>
      </c>
      <c r="AS88" s="28">
        <f>SUM(AJ89:AJ96)</f>
        <v>0</v>
      </c>
      <c r="AT88" s="28">
        <f>SUM(AK89:AK96)</f>
        <v>0</v>
      </c>
      <c r="AU88" s="28">
        <f>SUM(AL89:AL96)</f>
        <v>0</v>
      </c>
    </row>
    <row r="89" spans="1:76" ht="14.5" x14ac:dyDescent="0.35">
      <c r="A89" s="1" t="s">
        <v>316</v>
      </c>
      <c r="B89" s="2" t="s">
        <v>273</v>
      </c>
      <c r="C89" s="80" t="s">
        <v>317</v>
      </c>
      <c r="D89" s="75"/>
      <c r="E89" s="2" t="s">
        <v>174</v>
      </c>
      <c r="F89" s="54">
        <v>7.6</v>
      </c>
      <c r="G89" s="55">
        <v>0</v>
      </c>
      <c r="H89" s="54">
        <f t="shared" ref="H89:H96" si="90">ROUND(F89*AO89,2)</f>
        <v>0</v>
      </c>
      <c r="I89" s="54">
        <f t="shared" ref="I89:I96" si="91">ROUND(F89*AP89,2)</f>
        <v>0</v>
      </c>
      <c r="J89" s="54">
        <f t="shared" ref="J89:J96" si="92">ROUND(F89*G89,2)</f>
        <v>0</v>
      </c>
      <c r="K89" s="56" t="s">
        <v>121</v>
      </c>
      <c r="Z89" s="54">
        <f t="shared" ref="Z89:Z96" si="93">ROUND(IF(AQ89="5",BJ89,0),2)</f>
        <v>0</v>
      </c>
      <c r="AB89" s="54">
        <f t="shared" ref="AB89:AB96" si="94">ROUND(IF(AQ89="1",BH89,0),2)</f>
        <v>0</v>
      </c>
      <c r="AC89" s="54">
        <f t="shared" ref="AC89:AC96" si="95">ROUND(IF(AQ89="1",BI89,0),2)</f>
        <v>0</v>
      </c>
      <c r="AD89" s="54">
        <f t="shared" ref="AD89:AD96" si="96">ROUND(IF(AQ89="7",BH89,0),2)</f>
        <v>0</v>
      </c>
      <c r="AE89" s="54">
        <f t="shared" ref="AE89:AE96" si="97">ROUND(IF(AQ89="7",BI89,0),2)</f>
        <v>0</v>
      </c>
      <c r="AF89" s="54">
        <f t="shared" ref="AF89:AF96" si="98">ROUND(IF(AQ89="2",BH89,0),2)</f>
        <v>0</v>
      </c>
      <c r="AG89" s="54">
        <f t="shared" ref="AG89:AG96" si="99">ROUND(IF(AQ89="2",BI89,0),2)</f>
        <v>0</v>
      </c>
      <c r="AH89" s="54">
        <f t="shared" ref="AH89:AH96" si="100">ROUND(IF(AQ89="0",BJ89,0),2)</f>
        <v>0</v>
      </c>
      <c r="AI89" s="34" t="s">
        <v>308</v>
      </c>
      <c r="AJ89" s="54">
        <f t="shared" ref="AJ89:AJ96" si="101">IF(AN89=0,J89,0)</f>
        <v>0</v>
      </c>
      <c r="AK89" s="54">
        <f t="shared" ref="AK89:AK96" si="102">IF(AN89=12,J89,0)</f>
        <v>0</v>
      </c>
      <c r="AL89" s="54">
        <f t="shared" ref="AL89:AL96" si="103">IF(AN89=21,J89,0)</f>
        <v>0</v>
      </c>
      <c r="AN89" s="54">
        <v>21</v>
      </c>
      <c r="AO89" s="54">
        <f>G89*0</f>
        <v>0</v>
      </c>
      <c r="AP89" s="54">
        <f>G89*(1-0)</f>
        <v>0</v>
      </c>
      <c r="AQ89" s="57" t="s">
        <v>118</v>
      </c>
      <c r="AV89" s="54">
        <f t="shared" ref="AV89:AV96" si="104">ROUND(AW89+AX89,2)</f>
        <v>0</v>
      </c>
      <c r="AW89" s="54">
        <f t="shared" ref="AW89:AW96" si="105">ROUND(F89*AO89,2)</f>
        <v>0</v>
      </c>
      <c r="AX89" s="54">
        <f t="shared" ref="AX89:AX96" si="106">ROUND(F89*AP89,2)</f>
        <v>0</v>
      </c>
      <c r="AY89" s="57" t="s">
        <v>201</v>
      </c>
      <c r="AZ89" s="57" t="s">
        <v>318</v>
      </c>
      <c r="BA89" s="34" t="s">
        <v>312</v>
      </c>
      <c r="BC89" s="54">
        <f t="shared" ref="BC89:BC96" si="107">AW89+AX89</f>
        <v>0</v>
      </c>
      <c r="BD89" s="54">
        <f t="shared" ref="BD89:BD96" si="108">G89/(100-BE89)*100</f>
        <v>0</v>
      </c>
      <c r="BE89" s="54">
        <v>0</v>
      </c>
      <c r="BF89" s="54">
        <f>89</f>
        <v>89</v>
      </c>
      <c r="BH89" s="54">
        <f t="shared" ref="BH89:BH96" si="109">F89*AO89</f>
        <v>0</v>
      </c>
      <c r="BI89" s="54">
        <f t="shared" ref="BI89:BI96" si="110">F89*AP89</f>
        <v>0</v>
      </c>
      <c r="BJ89" s="54">
        <f t="shared" ref="BJ89:BJ96" si="111">F89*G89</f>
        <v>0</v>
      </c>
      <c r="BK89" s="57" t="s">
        <v>117</v>
      </c>
      <c r="BL89" s="54">
        <v>18</v>
      </c>
      <c r="BW89" s="54">
        <v>21</v>
      </c>
      <c r="BX89" s="3" t="s">
        <v>317</v>
      </c>
    </row>
    <row r="90" spans="1:76" ht="14.5" x14ac:dyDescent="0.35">
      <c r="A90" s="1" t="s">
        <v>319</v>
      </c>
      <c r="B90" s="2" t="s">
        <v>277</v>
      </c>
      <c r="C90" s="80" t="s">
        <v>278</v>
      </c>
      <c r="D90" s="75"/>
      <c r="E90" s="2" t="s">
        <v>113</v>
      </c>
      <c r="F90" s="54">
        <v>36</v>
      </c>
      <c r="G90" s="55">
        <v>0</v>
      </c>
      <c r="H90" s="54">
        <f t="shared" si="90"/>
        <v>0</v>
      </c>
      <c r="I90" s="54">
        <f t="shared" si="91"/>
        <v>0</v>
      </c>
      <c r="J90" s="54">
        <f t="shared" si="92"/>
        <v>0</v>
      </c>
      <c r="K90" s="56" t="s">
        <v>121</v>
      </c>
      <c r="Z90" s="54">
        <f t="shared" si="93"/>
        <v>0</v>
      </c>
      <c r="AB90" s="54">
        <f t="shared" si="94"/>
        <v>0</v>
      </c>
      <c r="AC90" s="54">
        <f t="shared" si="95"/>
        <v>0</v>
      </c>
      <c r="AD90" s="54">
        <f t="shared" si="96"/>
        <v>0</v>
      </c>
      <c r="AE90" s="54">
        <f t="shared" si="97"/>
        <v>0</v>
      </c>
      <c r="AF90" s="54">
        <f t="shared" si="98"/>
        <v>0</v>
      </c>
      <c r="AG90" s="54">
        <f t="shared" si="99"/>
        <v>0</v>
      </c>
      <c r="AH90" s="54">
        <f t="shared" si="100"/>
        <v>0</v>
      </c>
      <c r="AI90" s="34" t="s">
        <v>308</v>
      </c>
      <c r="AJ90" s="54">
        <f t="shared" si="101"/>
        <v>0</v>
      </c>
      <c r="AK90" s="54">
        <f t="shared" si="102"/>
        <v>0</v>
      </c>
      <c r="AL90" s="54">
        <f t="shared" si="103"/>
        <v>0</v>
      </c>
      <c r="AN90" s="54">
        <v>21</v>
      </c>
      <c r="AO90" s="54">
        <f>G90*0</f>
        <v>0</v>
      </c>
      <c r="AP90" s="54">
        <f>G90*(1-0)</f>
        <v>0</v>
      </c>
      <c r="AQ90" s="57" t="s">
        <v>110</v>
      </c>
      <c r="AV90" s="54">
        <f t="shared" si="104"/>
        <v>0</v>
      </c>
      <c r="AW90" s="54">
        <f t="shared" si="105"/>
        <v>0</v>
      </c>
      <c r="AX90" s="54">
        <f t="shared" si="106"/>
        <v>0</v>
      </c>
      <c r="AY90" s="57" t="s">
        <v>201</v>
      </c>
      <c r="AZ90" s="57" t="s">
        <v>318</v>
      </c>
      <c r="BA90" s="34" t="s">
        <v>312</v>
      </c>
      <c r="BC90" s="54">
        <f t="shared" si="107"/>
        <v>0</v>
      </c>
      <c r="BD90" s="54">
        <f t="shared" si="108"/>
        <v>0</v>
      </c>
      <c r="BE90" s="54">
        <v>0</v>
      </c>
      <c r="BF90" s="54">
        <f>90</f>
        <v>90</v>
      </c>
      <c r="BH90" s="54">
        <f t="shared" si="109"/>
        <v>0</v>
      </c>
      <c r="BI90" s="54">
        <f t="shared" si="110"/>
        <v>0</v>
      </c>
      <c r="BJ90" s="54">
        <f t="shared" si="111"/>
        <v>0</v>
      </c>
      <c r="BK90" s="57" t="s">
        <v>117</v>
      </c>
      <c r="BL90" s="54">
        <v>18</v>
      </c>
      <c r="BW90" s="54">
        <v>21</v>
      </c>
      <c r="BX90" s="3" t="s">
        <v>278</v>
      </c>
    </row>
    <row r="91" spans="1:76" ht="14.5" x14ac:dyDescent="0.35">
      <c r="A91" s="1" t="s">
        <v>320</v>
      </c>
      <c r="B91" s="2" t="s">
        <v>321</v>
      </c>
      <c r="C91" s="80" t="s">
        <v>322</v>
      </c>
      <c r="D91" s="75"/>
      <c r="E91" s="2" t="s">
        <v>113</v>
      </c>
      <c r="F91" s="54">
        <v>50</v>
      </c>
      <c r="G91" s="55">
        <v>0</v>
      </c>
      <c r="H91" s="54">
        <f t="shared" si="90"/>
        <v>0</v>
      </c>
      <c r="I91" s="54">
        <f t="shared" si="91"/>
        <v>0</v>
      </c>
      <c r="J91" s="54">
        <f t="shared" si="92"/>
        <v>0</v>
      </c>
      <c r="K91" s="56" t="s">
        <v>121</v>
      </c>
      <c r="Z91" s="54">
        <f t="shared" si="93"/>
        <v>0</v>
      </c>
      <c r="AB91" s="54">
        <f t="shared" si="94"/>
        <v>0</v>
      </c>
      <c r="AC91" s="54">
        <f t="shared" si="95"/>
        <v>0</v>
      </c>
      <c r="AD91" s="54">
        <f t="shared" si="96"/>
        <v>0</v>
      </c>
      <c r="AE91" s="54">
        <f t="shared" si="97"/>
        <v>0</v>
      </c>
      <c r="AF91" s="54">
        <f t="shared" si="98"/>
        <v>0</v>
      </c>
      <c r="AG91" s="54">
        <f t="shared" si="99"/>
        <v>0</v>
      </c>
      <c r="AH91" s="54">
        <f t="shared" si="100"/>
        <v>0</v>
      </c>
      <c r="AI91" s="34" t="s">
        <v>308</v>
      </c>
      <c r="AJ91" s="54">
        <f t="shared" si="101"/>
        <v>0</v>
      </c>
      <c r="AK91" s="54">
        <f t="shared" si="102"/>
        <v>0</v>
      </c>
      <c r="AL91" s="54">
        <f t="shared" si="103"/>
        <v>0</v>
      </c>
      <c r="AN91" s="54">
        <v>21</v>
      </c>
      <c r="AO91" s="54">
        <f>G91*0.384799086</f>
        <v>0</v>
      </c>
      <c r="AP91" s="54">
        <f>G91*(1-0.384799086)</f>
        <v>0</v>
      </c>
      <c r="AQ91" s="57" t="s">
        <v>110</v>
      </c>
      <c r="AV91" s="54">
        <f t="shared" si="104"/>
        <v>0</v>
      </c>
      <c r="AW91" s="54">
        <f t="shared" si="105"/>
        <v>0</v>
      </c>
      <c r="AX91" s="54">
        <f t="shared" si="106"/>
        <v>0</v>
      </c>
      <c r="AY91" s="57" t="s">
        <v>201</v>
      </c>
      <c r="AZ91" s="57" t="s">
        <v>318</v>
      </c>
      <c r="BA91" s="34" t="s">
        <v>312</v>
      </c>
      <c r="BC91" s="54">
        <f t="shared" si="107"/>
        <v>0</v>
      </c>
      <c r="BD91" s="54">
        <f t="shared" si="108"/>
        <v>0</v>
      </c>
      <c r="BE91" s="54">
        <v>0</v>
      </c>
      <c r="BF91" s="54">
        <f>91</f>
        <v>91</v>
      </c>
      <c r="BH91" s="54">
        <f t="shared" si="109"/>
        <v>0</v>
      </c>
      <c r="BI91" s="54">
        <f t="shared" si="110"/>
        <v>0</v>
      </c>
      <c r="BJ91" s="54">
        <f t="shared" si="111"/>
        <v>0</v>
      </c>
      <c r="BK91" s="57" t="s">
        <v>117</v>
      </c>
      <c r="BL91" s="54">
        <v>18</v>
      </c>
      <c r="BW91" s="54">
        <v>21</v>
      </c>
      <c r="BX91" s="3" t="s">
        <v>322</v>
      </c>
    </row>
    <row r="92" spans="1:76" ht="14.5" x14ac:dyDescent="0.35">
      <c r="A92" s="1" t="s">
        <v>323</v>
      </c>
      <c r="B92" s="2" t="s">
        <v>280</v>
      </c>
      <c r="C92" s="80" t="s">
        <v>281</v>
      </c>
      <c r="D92" s="75"/>
      <c r="E92" s="2" t="s">
        <v>113</v>
      </c>
      <c r="F92" s="54">
        <v>50</v>
      </c>
      <c r="G92" s="55">
        <v>0</v>
      </c>
      <c r="H92" s="54">
        <f t="shared" si="90"/>
        <v>0</v>
      </c>
      <c r="I92" s="54">
        <f t="shared" si="91"/>
        <v>0</v>
      </c>
      <c r="J92" s="54">
        <f t="shared" si="92"/>
        <v>0</v>
      </c>
      <c r="K92" s="56" t="s">
        <v>121</v>
      </c>
      <c r="Z92" s="54">
        <f t="shared" si="93"/>
        <v>0</v>
      </c>
      <c r="AB92" s="54">
        <f t="shared" si="94"/>
        <v>0</v>
      </c>
      <c r="AC92" s="54">
        <f t="shared" si="95"/>
        <v>0</v>
      </c>
      <c r="AD92" s="54">
        <f t="shared" si="96"/>
        <v>0</v>
      </c>
      <c r="AE92" s="54">
        <f t="shared" si="97"/>
        <v>0</v>
      </c>
      <c r="AF92" s="54">
        <f t="shared" si="98"/>
        <v>0</v>
      </c>
      <c r="AG92" s="54">
        <f t="shared" si="99"/>
        <v>0</v>
      </c>
      <c r="AH92" s="54">
        <f t="shared" si="100"/>
        <v>0</v>
      </c>
      <c r="AI92" s="34" t="s">
        <v>308</v>
      </c>
      <c r="AJ92" s="54">
        <f t="shared" si="101"/>
        <v>0</v>
      </c>
      <c r="AK92" s="54">
        <f t="shared" si="102"/>
        <v>0</v>
      </c>
      <c r="AL92" s="54">
        <f t="shared" si="103"/>
        <v>0</v>
      </c>
      <c r="AN92" s="54">
        <v>21</v>
      </c>
      <c r="AO92" s="54">
        <f>G92*0</f>
        <v>0</v>
      </c>
      <c r="AP92" s="54">
        <f>G92*(1-0)</f>
        <v>0</v>
      </c>
      <c r="AQ92" s="57" t="s">
        <v>110</v>
      </c>
      <c r="AV92" s="54">
        <f t="shared" si="104"/>
        <v>0</v>
      </c>
      <c r="AW92" s="54">
        <f t="shared" si="105"/>
        <v>0</v>
      </c>
      <c r="AX92" s="54">
        <f t="shared" si="106"/>
        <v>0</v>
      </c>
      <c r="AY92" s="57" t="s">
        <v>201</v>
      </c>
      <c r="AZ92" s="57" t="s">
        <v>318</v>
      </c>
      <c r="BA92" s="34" t="s">
        <v>312</v>
      </c>
      <c r="BC92" s="54">
        <f t="shared" si="107"/>
        <v>0</v>
      </c>
      <c r="BD92" s="54">
        <f t="shared" si="108"/>
        <v>0</v>
      </c>
      <c r="BE92" s="54">
        <v>0</v>
      </c>
      <c r="BF92" s="54">
        <f>92</f>
        <v>92</v>
      </c>
      <c r="BH92" s="54">
        <f t="shared" si="109"/>
        <v>0</v>
      </c>
      <c r="BI92" s="54">
        <f t="shared" si="110"/>
        <v>0</v>
      </c>
      <c r="BJ92" s="54">
        <f t="shared" si="111"/>
        <v>0</v>
      </c>
      <c r="BK92" s="57" t="s">
        <v>117</v>
      </c>
      <c r="BL92" s="54">
        <v>18</v>
      </c>
      <c r="BW92" s="54">
        <v>21</v>
      </c>
      <c r="BX92" s="3" t="s">
        <v>281</v>
      </c>
    </row>
    <row r="93" spans="1:76" ht="14.5" x14ac:dyDescent="0.35">
      <c r="A93" s="1" t="s">
        <v>324</v>
      </c>
      <c r="B93" s="2" t="s">
        <v>283</v>
      </c>
      <c r="C93" s="80" t="s">
        <v>284</v>
      </c>
      <c r="D93" s="75"/>
      <c r="E93" s="2" t="s">
        <v>134</v>
      </c>
      <c r="F93" s="54">
        <v>109</v>
      </c>
      <c r="G93" s="55">
        <v>0</v>
      </c>
      <c r="H93" s="54">
        <f t="shared" si="90"/>
        <v>0</v>
      </c>
      <c r="I93" s="54">
        <f t="shared" si="91"/>
        <v>0</v>
      </c>
      <c r="J93" s="54">
        <f t="shared" si="92"/>
        <v>0</v>
      </c>
      <c r="K93" s="56" t="s">
        <v>121</v>
      </c>
      <c r="Z93" s="54">
        <f t="shared" si="93"/>
        <v>0</v>
      </c>
      <c r="AB93" s="54">
        <f t="shared" si="94"/>
        <v>0</v>
      </c>
      <c r="AC93" s="54">
        <f t="shared" si="95"/>
        <v>0</v>
      </c>
      <c r="AD93" s="54">
        <f t="shared" si="96"/>
        <v>0</v>
      </c>
      <c r="AE93" s="54">
        <f t="shared" si="97"/>
        <v>0</v>
      </c>
      <c r="AF93" s="54">
        <f t="shared" si="98"/>
        <v>0</v>
      </c>
      <c r="AG93" s="54">
        <f t="shared" si="99"/>
        <v>0</v>
      </c>
      <c r="AH93" s="54">
        <f t="shared" si="100"/>
        <v>0</v>
      </c>
      <c r="AI93" s="34" t="s">
        <v>308</v>
      </c>
      <c r="AJ93" s="54">
        <f t="shared" si="101"/>
        <v>0</v>
      </c>
      <c r="AK93" s="54">
        <f t="shared" si="102"/>
        <v>0</v>
      </c>
      <c r="AL93" s="54">
        <f t="shared" si="103"/>
        <v>0</v>
      </c>
      <c r="AN93" s="54">
        <v>21</v>
      </c>
      <c r="AO93" s="54">
        <f>G93*0</f>
        <v>0</v>
      </c>
      <c r="AP93" s="54">
        <f>G93*(1-0)</f>
        <v>0</v>
      </c>
      <c r="AQ93" s="57" t="s">
        <v>110</v>
      </c>
      <c r="AV93" s="54">
        <f t="shared" si="104"/>
        <v>0</v>
      </c>
      <c r="AW93" s="54">
        <f t="shared" si="105"/>
        <v>0</v>
      </c>
      <c r="AX93" s="54">
        <f t="shared" si="106"/>
        <v>0</v>
      </c>
      <c r="AY93" s="57" t="s">
        <v>201</v>
      </c>
      <c r="AZ93" s="57" t="s">
        <v>318</v>
      </c>
      <c r="BA93" s="34" t="s">
        <v>312</v>
      </c>
      <c r="BC93" s="54">
        <f t="shared" si="107"/>
        <v>0</v>
      </c>
      <c r="BD93" s="54">
        <f t="shared" si="108"/>
        <v>0</v>
      </c>
      <c r="BE93" s="54">
        <v>0</v>
      </c>
      <c r="BF93" s="54">
        <f>93</f>
        <v>93</v>
      </c>
      <c r="BH93" s="54">
        <f t="shared" si="109"/>
        <v>0</v>
      </c>
      <c r="BI93" s="54">
        <f t="shared" si="110"/>
        <v>0</v>
      </c>
      <c r="BJ93" s="54">
        <f t="shared" si="111"/>
        <v>0</v>
      </c>
      <c r="BK93" s="57" t="s">
        <v>117</v>
      </c>
      <c r="BL93" s="54">
        <v>18</v>
      </c>
      <c r="BW93" s="54">
        <v>21</v>
      </c>
      <c r="BX93" s="3" t="s">
        <v>284</v>
      </c>
    </row>
    <row r="94" spans="1:76" ht="14.5" x14ac:dyDescent="0.35">
      <c r="A94" s="1" t="s">
        <v>325</v>
      </c>
      <c r="B94" s="2" t="s">
        <v>286</v>
      </c>
      <c r="C94" s="80" t="s">
        <v>326</v>
      </c>
      <c r="D94" s="75"/>
      <c r="E94" s="2" t="s">
        <v>134</v>
      </c>
      <c r="F94" s="54">
        <v>109</v>
      </c>
      <c r="G94" s="55">
        <v>0</v>
      </c>
      <c r="H94" s="54">
        <f t="shared" si="90"/>
        <v>0</v>
      </c>
      <c r="I94" s="54">
        <f t="shared" si="91"/>
        <v>0</v>
      </c>
      <c r="J94" s="54">
        <f t="shared" si="92"/>
        <v>0</v>
      </c>
      <c r="K94" s="56" t="s">
        <v>121</v>
      </c>
      <c r="Z94" s="54">
        <f t="shared" si="93"/>
        <v>0</v>
      </c>
      <c r="AB94" s="54">
        <f t="shared" si="94"/>
        <v>0</v>
      </c>
      <c r="AC94" s="54">
        <f t="shared" si="95"/>
        <v>0</v>
      </c>
      <c r="AD94" s="54">
        <f t="shared" si="96"/>
        <v>0</v>
      </c>
      <c r="AE94" s="54">
        <f t="shared" si="97"/>
        <v>0</v>
      </c>
      <c r="AF94" s="54">
        <f t="shared" si="98"/>
        <v>0</v>
      </c>
      <c r="AG94" s="54">
        <f t="shared" si="99"/>
        <v>0</v>
      </c>
      <c r="AH94" s="54">
        <f t="shared" si="100"/>
        <v>0</v>
      </c>
      <c r="AI94" s="34" t="s">
        <v>308</v>
      </c>
      <c r="AJ94" s="54">
        <f t="shared" si="101"/>
        <v>0</v>
      </c>
      <c r="AK94" s="54">
        <f t="shared" si="102"/>
        <v>0</v>
      </c>
      <c r="AL94" s="54">
        <f t="shared" si="103"/>
        <v>0</v>
      </c>
      <c r="AN94" s="54">
        <v>21</v>
      </c>
      <c r="AO94" s="54">
        <f>G94*0.009473684</f>
        <v>0</v>
      </c>
      <c r="AP94" s="54">
        <f>G94*(1-0.009473684)</f>
        <v>0</v>
      </c>
      <c r="AQ94" s="57" t="s">
        <v>110</v>
      </c>
      <c r="AV94" s="54">
        <f t="shared" si="104"/>
        <v>0</v>
      </c>
      <c r="AW94" s="54">
        <f t="shared" si="105"/>
        <v>0</v>
      </c>
      <c r="AX94" s="54">
        <f t="shared" si="106"/>
        <v>0</v>
      </c>
      <c r="AY94" s="57" t="s">
        <v>201</v>
      </c>
      <c r="AZ94" s="57" t="s">
        <v>318</v>
      </c>
      <c r="BA94" s="34" t="s">
        <v>312</v>
      </c>
      <c r="BC94" s="54">
        <f t="shared" si="107"/>
        <v>0</v>
      </c>
      <c r="BD94" s="54">
        <f t="shared" si="108"/>
        <v>0</v>
      </c>
      <c r="BE94" s="54">
        <v>0</v>
      </c>
      <c r="BF94" s="54">
        <f>94</f>
        <v>94</v>
      </c>
      <c r="BH94" s="54">
        <f t="shared" si="109"/>
        <v>0</v>
      </c>
      <c r="BI94" s="54">
        <f t="shared" si="110"/>
        <v>0</v>
      </c>
      <c r="BJ94" s="54">
        <f t="shared" si="111"/>
        <v>0</v>
      </c>
      <c r="BK94" s="57" t="s">
        <v>117</v>
      </c>
      <c r="BL94" s="54">
        <v>18</v>
      </c>
      <c r="BW94" s="54">
        <v>21</v>
      </c>
      <c r="BX94" s="3" t="s">
        <v>326</v>
      </c>
    </row>
    <row r="95" spans="1:76" ht="14.5" x14ac:dyDescent="0.35">
      <c r="A95" s="1" t="s">
        <v>327</v>
      </c>
      <c r="B95" s="2" t="s">
        <v>289</v>
      </c>
      <c r="C95" s="80" t="s">
        <v>290</v>
      </c>
      <c r="D95" s="75"/>
      <c r="E95" s="2" t="s">
        <v>113</v>
      </c>
      <c r="F95" s="54">
        <v>50</v>
      </c>
      <c r="G95" s="55">
        <v>0</v>
      </c>
      <c r="H95" s="54">
        <f t="shared" si="90"/>
        <v>0</v>
      </c>
      <c r="I95" s="54">
        <f t="shared" si="91"/>
        <v>0</v>
      </c>
      <c r="J95" s="54">
        <f t="shared" si="92"/>
        <v>0</v>
      </c>
      <c r="K95" s="56" t="s">
        <v>121</v>
      </c>
      <c r="Z95" s="54">
        <f t="shared" si="93"/>
        <v>0</v>
      </c>
      <c r="AB95" s="54">
        <f t="shared" si="94"/>
        <v>0</v>
      </c>
      <c r="AC95" s="54">
        <f t="shared" si="95"/>
        <v>0</v>
      </c>
      <c r="AD95" s="54">
        <f t="shared" si="96"/>
        <v>0</v>
      </c>
      <c r="AE95" s="54">
        <f t="shared" si="97"/>
        <v>0</v>
      </c>
      <c r="AF95" s="54">
        <f t="shared" si="98"/>
        <v>0</v>
      </c>
      <c r="AG95" s="54">
        <f t="shared" si="99"/>
        <v>0</v>
      </c>
      <c r="AH95" s="54">
        <f t="shared" si="100"/>
        <v>0</v>
      </c>
      <c r="AI95" s="34" t="s">
        <v>308</v>
      </c>
      <c r="AJ95" s="54">
        <f t="shared" si="101"/>
        <v>0</v>
      </c>
      <c r="AK95" s="54">
        <f t="shared" si="102"/>
        <v>0</v>
      </c>
      <c r="AL95" s="54">
        <f t="shared" si="103"/>
        <v>0</v>
      </c>
      <c r="AN95" s="54">
        <v>21</v>
      </c>
      <c r="AO95" s="54">
        <f>G95*0</f>
        <v>0</v>
      </c>
      <c r="AP95" s="54">
        <f>G95*(1-0)</f>
        <v>0</v>
      </c>
      <c r="AQ95" s="57" t="s">
        <v>110</v>
      </c>
      <c r="AV95" s="54">
        <f t="shared" si="104"/>
        <v>0</v>
      </c>
      <c r="AW95" s="54">
        <f t="shared" si="105"/>
        <v>0</v>
      </c>
      <c r="AX95" s="54">
        <f t="shared" si="106"/>
        <v>0</v>
      </c>
      <c r="AY95" s="57" t="s">
        <v>201</v>
      </c>
      <c r="AZ95" s="57" t="s">
        <v>318</v>
      </c>
      <c r="BA95" s="34" t="s">
        <v>312</v>
      </c>
      <c r="BC95" s="54">
        <f t="shared" si="107"/>
        <v>0</v>
      </c>
      <c r="BD95" s="54">
        <f t="shared" si="108"/>
        <v>0</v>
      </c>
      <c r="BE95" s="54">
        <v>0</v>
      </c>
      <c r="BF95" s="54">
        <f>95</f>
        <v>95</v>
      </c>
      <c r="BH95" s="54">
        <f t="shared" si="109"/>
        <v>0</v>
      </c>
      <c r="BI95" s="54">
        <f t="shared" si="110"/>
        <v>0</v>
      </c>
      <c r="BJ95" s="54">
        <f t="shared" si="111"/>
        <v>0</v>
      </c>
      <c r="BK95" s="57" t="s">
        <v>117</v>
      </c>
      <c r="BL95" s="54">
        <v>18</v>
      </c>
      <c r="BW95" s="54">
        <v>21</v>
      </c>
      <c r="BX95" s="3" t="s">
        <v>290</v>
      </c>
    </row>
    <row r="96" spans="1:76" ht="14.5" x14ac:dyDescent="0.35">
      <c r="A96" s="1" t="s">
        <v>328</v>
      </c>
      <c r="B96" s="2" t="s">
        <v>217</v>
      </c>
      <c r="C96" s="80" t="s">
        <v>292</v>
      </c>
      <c r="D96" s="75"/>
      <c r="E96" s="2" t="s">
        <v>174</v>
      </c>
      <c r="F96" s="54">
        <v>1</v>
      </c>
      <c r="G96" s="55">
        <v>0</v>
      </c>
      <c r="H96" s="54">
        <f t="shared" si="90"/>
        <v>0</v>
      </c>
      <c r="I96" s="54">
        <f t="shared" si="91"/>
        <v>0</v>
      </c>
      <c r="J96" s="54">
        <f t="shared" si="92"/>
        <v>0</v>
      </c>
      <c r="K96" s="56" t="s">
        <v>4</v>
      </c>
      <c r="Z96" s="54">
        <f t="shared" si="93"/>
        <v>0</v>
      </c>
      <c r="AB96" s="54">
        <f t="shared" si="94"/>
        <v>0</v>
      </c>
      <c r="AC96" s="54">
        <f t="shared" si="95"/>
        <v>0</v>
      </c>
      <c r="AD96" s="54">
        <f t="shared" si="96"/>
        <v>0</v>
      </c>
      <c r="AE96" s="54">
        <f t="shared" si="97"/>
        <v>0</v>
      </c>
      <c r="AF96" s="54">
        <f t="shared" si="98"/>
        <v>0</v>
      </c>
      <c r="AG96" s="54">
        <f t="shared" si="99"/>
        <v>0</v>
      </c>
      <c r="AH96" s="54">
        <f t="shared" si="100"/>
        <v>0</v>
      </c>
      <c r="AI96" s="34" t="s">
        <v>308</v>
      </c>
      <c r="AJ96" s="54">
        <f t="shared" si="101"/>
        <v>0</v>
      </c>
      <c r="AK96" s="54">
        <f t="shared" si="102"/>
        <v>0</v>
      </c>
      <c r="AL96" s="54">
        <f t="shared" si="103"/>
        <v>0</v>
      </c>
      <c r="AN96" s="54">
        <v>21</v>
      </c>
      <c r="AO96" s="54">
        <f>G96*0</f>
        <v>0</v>
      </c>
      <c r="AP96" s="54">
        <f>G96*(1-0)</f>
        <v>0</v>
      </c>
      <c r="AQ96" s="57" t="s">
        <v>110</v>
      </c>
      <c r="AV96" s="54">
        <f t="shared" si="104"/>
        <v>0</v>
      </c>
      <c r="AW96" s="54">
        <f t="shared" si="105"/>
        <v>0</v>
      </c>
      <c r="AX96" s="54">
        <f t="shared" si="106"/>
        <v>0</v>
      </c>
      <c r="AY96" s="57" t="s">
        <v>201</v>
      </c>
      <c r="AZ96" s="57" t="s">
        <v>318</v>
      </c>
      <c r="BA96" s="34" t="s">
        <v>312</v>
      </c>
      <c r="BC96" s="54">
        <f t="shared" si="107"/>
        <v>0</v>
      </c>
      <c r="BD96" s="54">
        <f t="shared" si="108"/>
        <v>0</v>
      </c>
      <c r="BE96" s="54">
        <v>0</v>
      </c>
      <c r="BF96" s="54">
        <f>96</f>
        <v>96</v>
      </c>
      <c r="BH96" s="54">
        <f t="shared" si="109"/>
        <v>0</v>
      </c>
      <c r="BI96" s="54">
        <f t="shared" si="110"/>
        <v>0</v>
      </c>
      <c r="BJ96" s="54">
        <f t="shared" si="111"/>
        <v>0</v>
      </c>
      <c r="BK96" s="57" t="s">
        <v>117</v>
      </c>
      <c r="BL96" s="54">
        <v>18</v>
      </c>
      <c r="BW96" s="54">
        <v>21</v>
      </c>
      <c r="BX96" s="3" t="s">
        <v>292</v>
      </c>
    </row>
    <row r="97" spans="1:76" ht="14.5" x14ac:dyDescent="0.35">
      <c r="A97" s="49" t="s">
        <v>4</v>
      </c>
      <c r="B97" s="50" t="s">
        <v>161</v>
      </c>
      <c r="C97" s="158" t="s">
        <v>162</v>
      </c>
      <c r="D97" s="159"/>
      <c r="E97" s="51" t="s">
        <v>70</v>
      </c>
      <c r="F97" s="51" t="s">
        <v>70</v>
      </c>
      <c r="G97" s="52" t="s">
        <v>70</v>
      </c>
      <c r="H97" s="28">
        <f>ROUND(SUM(H98:H98),2)</f>
        <v>0</v>
      </c>
      <c r="I97" s="28">
        <f>ROUND(SUM(I98:I98),2)</f>
        <v>0</v>
      </c>
      <c r="J97" s="28">
        <f>ROUND(SUM(J98:J98),2)</f>
        <v>0</v>
      </c>
      <c r="K97" s="53" t="s">
        <v>4</v>
      </c>
      <c r="AI97" s="34" t="s">
        <v>308</v>
      </c>
      <c r="AS97" s="28">
        <f>SUM(AJ98:AJ98)</f>
        <v>0</v>
      </c>
      <c r="AT97" s="28">
        <f>SUM(AK98:AK98)</f>
        <v>0</v>
      </c>
      <c r="AU97" s="28">
        <f>SUM(AL98:AL98)</f>
        <v>0</v>
      </c>
    </row>
    <row r="98" spans="1:76" ht="14.5" x14ac:dyDescent="0.35">
      <c r="A98" s="1" t="s">
        <v>329</v>
      </c>
      <c r="B98" s="2" t="s">
        <v>164</v>
      </c>
      <c r="C98" s="80" t="s">
        <v>165</v>
      </c>
      <c r="D98" s="75"/>
      <c r="E98" s="2" t="s">
        <v>166</v>
      </c>
      <c r="F98" s="54">
        <v>14.2</v>
      </c>
      <c r="G98" s="55">
        <v>0</v>
      </c>
      <c r="H98" s="54">
        <f>ROUND(F98*AO98,2)</f>
        <v>0</v>
      </c>
      <c r="I98" s="54">
        <f>ROUND(F98*AP98,2)</f>
        <v>0</v>
      </c>
      <c r="J98" s="54">
        <f>ROUND(F98*G98,2)</f>
        <v>0</v>
      </c>
      <c r="K98" s="56" t="s">
        <v>121</v>
      </c>
      <c r="Z98" s="54">
        <f>ROUND(IF(AQ98="5",BJ98,0),2)</f>
        <v>0</v>
      </c>
      <c r="AB98" s="54">
        <f>ROUND(IF(AQ98="1",BH98,0),2)</f>
        <v>0</v>
      </c>
      <c r="AC98" s="54">
        <f>ROUND(IF(AQ98="1",BI98,0),2)</f>
        <v>0</v>
      </c>
      <c r="AD98" s="54">
        <f>ROUND(IF(AQ98="7",BH98,0),2)</f>
        <v>0</v>
      </c>
      <c r="AE98" s="54">
        <f>ROUND(IF(AQ98="7",BI98,0),2)</f>
        <v>0</v>
      </c>
      <c r="AF98" s="54">
        <f>ROUND(IF(AQ98="2",BH98,0),2)</f>
        <v>0</v>
      </c>
      <c r="AG98" s="54">
        <f>ROUND(IF(AQ98="2",BI98,0),2)</f>
        <v>0</v>
      </c>
      <c r="AH98" s="54">
        <f>ROUND(IF(AQ98="0",BJ98,0),2)</f>
        <v>0</v>
      </c>
      <c r="AI98" s="34" t="s">
        <v>308</v>
      </c>
      <c r="AJ98" s="54">
        <f>IF(AN98=0,J98,0)</f>
        <v>0</v>
      </c>
      <c r="AK98" s="54">
        <f>IF(AN98=12,J98,0)</f>
        <v>0</v>
      </c>
      <c r="AL98" s="54">
        <f>IF(AN98=21,J98,0)</f>
        <v>0</v>
      </c>
      <c r="AN98" s="54">
        <v>21</v>
      </c>
      <c r="AO98" s="54">
        <f>G98*0</f>
        <v>0</v>
      </c>
      <c r="AP98" s="54">
        <f>G98*(1-0)</f>
        <v>0</v>
      </c>
      <c r="AQ98" s="57" t="s">
        <v>128</v>
      </c>
      <c r="AV98" s="54">
        <f>ROUND(AW98+AX98,2)</f>
        <v>0</v>
      </c>
      <c r="AW98" s="54">
        <f>ROUND(F98*AO98,2)</f>
        <v>0</v>
      </c>
      <c r="AX98" s="54">
        <f>ROUND(F98*AP98,2)</f>
        <v>0</v>
      </c>
      <c r="AY98" s="57" t="s">
        <v>167</v>
      </c>
      <c r="AZ98" s="57" t="s">
        <v>330</v>
      </c>
      <c r="BA98" s="34" t="s">
        <v>312</v>
      </c>
      <c r="BC98" s="54">
        <f>AW98+AX98</f>
        <v>0</v>
      </c>
      <c r="BD98" s="54">
        <f>G98/(100-BE98)*100</f>
        <v>0</v>
      </c>
      <c r="BE98" s="54">
        <v>0</v>
      </c>
      <c r="BF98" s="54">
        <f>98</f>
        <v>98</v>
      </c>
      <c r="BH98" s="54">
        <f>F98*AO98</f>
        <v>0</v>
      </c>
      <c r="BI98" s="54">
        <f>F98*AP98</f>
        <v>0</v>
      </c>
      <c r="BJ98" s="54">
        <f>F98*G98</f>
        <v>0</v>
      </c>
      <c r="BK98" s="57" t="s">
        <v>117</v>
      </c>
      <c r="BL98" s="54"/>
      <c r="BW98" s="54">
        <v>21</v>
      </c>
      <c r="BX98" s="3" t="s">
        <v>165</v>
      </c>
    </row>
    <row r="99" spans="1:76" ht="14.5" x14ac:dyDescent="0.35">
      <c r="A99" s="49" t="s">
        <v>4</v>
      </c>
      <c r="B99" s="50" t="s">
        <v>180</v>
      </c>
      <c r="C99" s="158" t="s">
        <v>34</v>
      </c>
      <c r="D99" s="159"/>
      <c r="E99" s="51" t="s">
        <v>70</v>
      </c>
      <c r="F99" s="51" t="s">
        <v>70</v>
      </c>
      <c r="G99" s="52" t="s">
        <v>70</v>
      </c>
      <c r="H99" s="28">
        <f>ROUND(SUM(H100:H106),2)</f>
        <v>0</v>
      </c>
      <c r="I99" s="28">
        <f>ROUND(SUM(I100:I106),2)</f>
        <v>0</v>
      </c>
      <c r="J99" s="28">
        <f>ROUND(SUM(J100:J106),2)</f>
        <v>0</v>
      </c>
      <c r="K99" s="53" t="s">
        <v>4</v>
      </c>
      <c r="AI99" s="34" t="s">
        <v>308</v>
      </c>
      <c r="AS99" s="28">
        <f>SUM(AJ100:AJ106)</f>
        <v>0</v>
      </c>
      <c r="AT99" s="28">
        <f>SUM(AK100:AK106)</f>
        <v>0</v>
      </c>
      <c r="AU99" s="28">
        <f>SUM(AL100:AL106)</f>
        <v>0</v>
      </c>
    </row>
    <row r="100" spans="1:76" ht="25" x14ac:dyDescent="0.35">
      <c r="A100" s="1" t="s">
        <v>331</v>
      </c>
      <c r="B100" s="2" t="s">
        <v>250</v>
      </c>
      <c r="C100" s="80" t="s">
        <v>332</v>
      </c>
      <c r="D100" s="75"/>
      <c r="E100" s="2" t="s">
        <v>174</v>
      </c>
      <c r="F100" s="54">
        <v>2.5</v>
      </c>
      <c r="G100" s="55">
        <v>0</v>
      </c>
      <c r="H100" s="54">
        <f t="shared" ref="H100:H106" si="112">ROUND(F100*AO100,2)</f>
        <v>0</v>
      </c>
      <c r="I100" s="54">
        <f t="shared" ref="I100:I106" si="113">ROUND(F100*AP100,2)</f>
        <v>0</v>
      </c>
      <c r="J100" s="54">
        <f t="shared" ref="J100:J106" si="114">ROUND(F100*G100,2)</f>
        <v>0</v>
      </c>
      <c r="K100" s="56" t="s">
        <v>121</v>
      </c>
      <c r="Z100" s="54">
        <f t="shared" ref="Z100:Z106" si="115">ROUND(IF(AQ100="5",BJ100,0),2)</f>
        <v>0</v>
      </c>
      <c r="AB100" s="54">
        <f t="shared" ref="AB100:AB106" si="116">ROUND(IF(AQ100="1",BH100,0),2)</f>
        <v>0</v>
      </c>
      <c r="AC100" s="54">
        <f t="shared" ref="AC100:AC106" si="117">ROUND(IF(AQ100="1",BI100,0),2)</f>
        <v>0</v>
      </c>
      <c r="AD100" s="54">
        <f t="shared" ref="AD100:AD106" si="118">ROUND(IF(AQ100="7",BH100,0),2)</f>
        <v>0</v>
      </c>
      <c r="AE100" s="54">
        <f t="shared" ref="AE100:AE106" si="119">ROUND(IF(AQ100="7",BI100,0),2)</f>
        <v>0</v>
      </c>
      <c r="AF100" s="54">
        <f t="shared" ref="AF100:AF106" si="120">ROUND(IF(AQ100="2",BH100,0),2)</f>
        <v>0</v>
      </c>
      <c r="AG100" s="54">
        <f t="shared" ref="AG100:AG106" si="121">ROUND(IF(AQ100="2",BI100,0),2)</f>
        <v>0</v>
      </c>
      <c r="AH100" s="54">
        <f t="shared" ref="AH100:AH106" si="122">ROUND(IF(AQ100="0",BJ100,0),2)</f>
        <v>0</v>
      </c>
      <c r="AI100" s="34" t="s">
        <v>308</v>
      </c>
      <c r="AJ100" s="54">
        <f t="shared" ref="AJ100:AJ106" si="123">IF(AN100=0,J100,0)</f>
        <v>0</v>
      </c>
      <c r="AK100" s="54">
        <f t="shared" ref="AK100:AK106" si="124">IF(AN100=12,J100,0)</f>
        <v>0</v>
      </c>
      <c r="AL100" s="54">
        <f t="shared" ref="AL100:AL106" si="125">IF(AN100=21,J100,0)</f>
        <v>0</v>
      </c>
      <c r="AN100" s="54">
        <v>21</v>
      </c>
      <c r="AO100" s="54">
        <f t="shared" ref="AO100:AO106" si="126">G100*1</f>
        <v>0</v>
      </c>
      <c r="AP100" s="54">
        <f t="shared" ref="AP100:AP106" si="127">G100*(1-1)</f>
        <v>0</v>
      </c>
      <c r="AQ100" s="57" t="s">
        <v>184</v>
      </c>
      <c r="AV100" s="54">
        <f t="shared" ref="AV100:AV106" si="128">ROUND(AW100+AX100,2)</f>
        <v>0</v>
      </c>
      <c r="AW100" s="54">
        <f t="shared" ref="AW100:AW106" si="129">ROUND(F100*AO100,2)</f>
        <v>0</v>
      </c>
      <c r="AX100" s="54">
        <f t="shared" ref="AX100:AX106" si="130">ROUND(F100*AP100,2)</f>
        <v>0</v>
      </c>
      <c r="AY100" s="57" t="s">
        <v>185</v>
      </c>
      <c r="AZ100" s="57" t="s">
        <v>333</v>
      </c>
      <c r="BA100" s="34" t="s">
        <v>312</v>
      </c>
      <c r="BC100" s="54">
        <f t="shared" ref="BC100:BC106" si="131">AW100+AX100</f>
        <v>0</v>
      </c>
      <c r="BD100" s="54">
        <f t="shared" ref="BD100:BD106" si="132">G100/(100-BE100)*100</f>
        <v>0</v>
      </c>
      <c r="BE100" s="54">
        <v>0</v>
      </c>
      <c r="BF100" s="54">
        <f>100</f>
        <v>100</v>
      </c>
      <c r="BH100" s="54">
        <f t="shared" ref="BH100:BH106" si="133">F100*AO100</f>
        <v>0</v>
      </c>
      <c r="BI100" s="54">
        <f t="shared" ref="BI100:BI106" si="134">F100*AP100</f>
        <v>0</v>
      </c>
      <c r="BJ100" s="54">
        <f t="shared" ref="BJ100:BJ106" si="135">F100*G100</f>
        <v>0</v>
      </c>
      <c r="BK100" s="57" t="s">
        <v>180</v>
      </c>
      <c r="BL100" s="54"/>
      <c r="BW100" s="54">
        <v>21</v>
      </c>
      <c r="BX100" s="3" t="s">
        <v>332</v>
      </c>
    </row>
    <row r="101" spans="1:76" ht="14.5" x14ac:dyDescent="0.35">
      <c r="A101" s="1" t="s">
        <v>334</v>
      </c>
      <c r="B101" s="2" t="s">
        <v>188</v>
      </c>
      <c r="C101" s="80" t="s">
        <v>299</v>
      </c>
      <c r="D101" s="75"/>
      <c r="E101" s="2" t="s">
        <v>190</v>
      </c>
      <c r="F101" s="54">
        <v>0.1</v>
      </c>
      <c r="G101" s="55">
        <v>0</v>
      </c>
      <c r="H101" s="54">
        <f t="shared" si="112"/>
        <v>0</v>
      </c>
      <c r="I101" s="54">
        <f t="shared" si="113"/>
        <v>0</v>
      </c>
      <c r="J101" s="54">
        <f t="shared" si="114"/>
        <v>0</v>
      </c>
      <c r="K101" s="56" t="s">
        <v>4</v>
      </c>
      <c r="Z101" s="54">
        <f t="shared" si="115"/>
        <v>0</v>
      </c>
      <c r="AB101" s="54">
        <f t="shared" si="116"/>
        <v>0</v>
      </c>
      <c r="AC101" s="54">
        <f t="shared" si="117"/>
        <v>0</v>
      </c>
      <c r="AD101" s="54">
        <f t="shared" si="118"/>
        <v>0</v>
      </c>
      <c r="AE101" s="54">
        <f t="shared" si="119"/>
        <v>0</v>
      </c>
      <c r="AF101" s="54">
        <f t="shared" si="120"/>
        <v>0</v>
      </c>
      <c r="AG101" s="54">
        <f t="shared" si="121"/>
        <v>0</v>
      </c>
      <c r="AH101" s="54">
        <f t="shared" si="122"/>
        <v>0</v>
      </c>
      <c r="AI101" s="34" t="s">
        <v>308</v>
      </c>
      <c r="AJ101" s="54">
        <f t="shared" si="123"/>
        <v>0</v>
      </c>
      <c r="AK101" s="54">
        <f t="shared" si="124"/>
        <v>0</v>
      </c>
      <c r="AL101" s="54">
        <f t="shared" si="125"/>
        <v>0</v>
      </c>
      <c r="AN101" s="54">
        <v>21</v>
      </c>
      <c r="AO101" s="54">
        <f t="shared" si="126"/>
        <v>0</v>
      </c>
      <c r="AP101" s="54">
        <f t="shared" si="127"/>
        <v>0</v>
      </c>
      <c r="AQ101" s="57" t="s">
        <v>184</v>
      </c>
      <c r="AV101" s="54">
        <f t="shared" si="128"/>
        <v>0</v>
      </c>
      <c r="AW101" s="54">
        <f t="shared" si="129"/>
        <v>0</v>
      </c>
      <c r="AX101" s="54">
        <f t="shared" si="130"/>
        <v>0</v>
      </c>
      <c r="AY101" s="57" t="s">
        <v>185</v>
      </c>
      <c r="AZ101" s="57" t="s">
        <v>333</v>
      </c>
      <c r="BA101" s="34" t="s">
        <v>312</v>
      </c>
      <c r="BC101" s="54">
        <f t="shared" si="131"/>
        <v>0</v>
      </c>
      <c r="BD101" s="54">
        <f t="shared" si="132"/>
        <v>0</v>
      </c>
      <c r="BE101" s="54">
        <v>0</v>
      </c>
      <c r="BF101" s="54">
        <f>101</f>
        <v>101</v>
      </c>
      <c r="BH101" s="54">
        <f t="shared" si="133"/>
        <v>0</v>
      </c>
      <c r="BI101" s="54">
        <f t="shared" si="134"/>
        <v>0</v>
      </c>
      <c r="BJ101" s="54">
        <f t="shared" si="135"/>
        <v>0</v>
      </c>
      <c r="BK101" s="57" t="s">
        <v>180</v>
      </c>
      <c r="BL101" s="54"/>
      <c r="BW101" s="54">
        <v>21</v>
      </c>
      <c r="BX101" s="3" t="s">
        <v>299</v>
      </c>
    </row>
    <row r="102" spans="1:76" ht="14.5" x14ac:dyDescent="0.35">
      <c r="A102" s="1" t="s">
        <v>335</v>
      </c>
      <c r="B102" s="2" t="s">
        <v>247</v>
      </c>
      <c r="C102" s="80" t="s">
        <v>248</v>
      </c>
      <c r="D102" s="75"/>
      <c r="E102" s="2" t="s">
        <v>174</v>
      </c>
      <c r="F102" s="54">
        <v>1</v>
      </c>
      <c r="G102" s="55">
        <v>0</v>
      </c>
      <c r="H102" s="54">
        <f t="shared" si="112"/>
        <v>0</v>
      </c>
      <c r="I102" s="54">
        <f t="shared" si="113"/>
        <v>0</v>
      </c>
      <c r="J102" s="54">
        <f t="shared" si="114"/>
        <v>0</v>
      </c>
      <c r="K102" s="56" t="s">
        <v>121</v>
      </c>
      <c r="Z102" s="54">
        <f t="shared" si="115"/>
        <v>0</v>
      </c>
      <c r="AB102" s="54">
        <f t="shared" si="116"/>
        <v>0</v>
      </c>
      <c r="AC102" s="54">
        <f t="shared" si="117"/>
        <v>0</v>
      </c>
      <c r="AD102" s="54">
        <f t="shared" si="118"/>
        <v>0</v>
      </c>
      <c r="AE102" s="54">
        <f t="shared" si="119"/>
        <v>0</v>
      </c>
      <c r="AF102" s="54">
        <f t="shared" si="120"/>
        <v>0</v>
      </c>
      <c r="AG102" s="54">
        <f t="shared" si="121"/>
        <v>0</v>
      </c>
      <c r="AH102" s="54">
        <f t="shared" si="122"/>
        <v>0</v>
      </c>
      <c r="AI102" s="34" t="s">
        <v>308</v>
      </c>
      <c r="AJ102" s="54">
        <f t="shared" si="123"/>
        <v>0</v>
      </c>
      <c r="AK102" s="54">
        <f t="shared" si="124"/>
        <v>0</v>
      </c>
      <c r="AL102" s="54">
        <f t="shared" si="125"/>
        <v>0</v>
      </c>
      <c r="AN102" s="54">
        <v>21</v>
      </c>
      <c r="AO102" s="54">
        <f t="shared" si="126"/>
        <v>0</v>
      </c>
      <c r="AP102" s="54">
        <f t="shared" si="127"/>
        <v>0</v>
      </c>
      <c r="AQ102" s="57" t="s">
        <v>184</v>
      </c>
      <c r="AV102" s="54">
        <f t="shared" si="128"/>
        <v>0</v>
      </c>
      <c r="AW102" s="54">
        <f t="shared" si="129"/>
        <v>0</v>
      </c>
      <c r="AX102" s="54">
        <f t="shared" si="130"/>
        <v>0</v>
      </c>
      <c r="AY102" s="57" t="s">
        <v>185</v>
      </c>
      <c r="AZ102" s="57" t="s">
        <v>333</v>
      </c>
      <c r="BA102" s="34" t="s">
        <v>312</v>
      </c>
      <c r="BC102" s="54">
        <f t="shared" si="131"/>
        <v>0</v>
      </c>
      <c r="BD102" s="54">
        <f t="shared" si="132"/>
        <v>0</v>
      </c>
      <c r="BE102" s="54">
        <v>0</v>
      </c>
      <c r="BF102" s="54">
        <f>102</f>
        <v>102</v>
      </c>
      <c r="BH102" s="54">
        <f t="shared" si="133"/>
        <v>0</v>
      </c>
      <c r="BI102" s="54">
        <f t="shared" si="134"/>
        <v>0</v>
      </c>
      <c r="BJ102" s="54">
        <f t="shared" si="135"/>
        <v>0</v>
      </c>
      <c r="BK102" s="57" t="s">
        <v>180</v>
      </c>
      <c r="BL102" s="54"/>
      <c r="BW102" s="54">
        <v>21</v>
      </c>
      <c r="BX102" s="3" t="s">
        <v>248</v>
      </c>
    </row>
    <row r="103" spans="1:76" ht="25" x14ac:dyDescent="0.35">
      <c r="A103" s="1" t="s">
        <v>336</v>
      </c>
      <c r="B103" s="2" t="s">
        <v>302</v>
      </c>
      <c r="C103" s="80" t="s">
        <v>337</v>
      </c>
      <c r="D103" s="75"/>
      <c r="E103" s="2" t="s">
        <v>174</v>
      </c>
      <c r="F103" s="54">
        <v>7.6</v>
      </c>
      <c r="G103" s="55">
        <v>0</v>
      </c>
      <c r="H103" s="54">
        <f t="shared" si="112"/>
        <v>0</v>
      </c>
      <c r="I103" s="54">
        <f t="shared" si="113"/>
        <v>0</v>
      </c>
      <c r="J103" s="54">
        <f t="shared" si="114"/>
        <v>0</v>
      </c>
      <c r="K103" s="56" t="s">
        <v>121</v>
      </c>
      <c r="Z103" s="54">
        <f t="shared" si="115"/>
        <v>0</v>
      </c>
      <c r="AB103" s="54">
        <f t="shared" si="116"/>
        <v>0</v>
      </c>
      <c r="AC103" s="54">
        <f t="shared" si="117"/>
        <v>0</v>
      </c>
      <c r="AD103" s="54">
        <f t="shared" si="118"/>
        <v>0</v>
      </c>
      <c r="AE103" s="54">
        <f t="shared" si="119"/>
        <v>0</v>
      </c>
      <c r="AF103" s="54">
        <f t="shared" si="120"/>
        <v>0</v>
      </c>
      <c r="AG103" s="54">
        <f t="shared" si="121"/>
        <v>0</v>
      </c>
      <c r="AH103" s="54">
        <f t="shared" si="122"/>
        <v>0</v>
      </c>
      <c r="AI103" s="34" t="s">
        <v>308</v>
      </c>
      <c r="AJ103" s="54">
        <f t="shared" si="123"/>
        <v>0</v>
      </c>
      <c r="AK103" s="54">
        <f t="shared" si="124"/>
        <v>0</v>
      </c>
      <c r="AL103" s="54">
        <f t="shared" si="125"/>
        <v>0</v>
      </c>
      <c r="AN103" s="54">
        <v>21</v>
      </c>
      <c r="AO103" s="54">
        <f t="shared" si="126"/>
        <v>0</v>
      </c>
      <c r="AP103" s="54">
        <f t="shared" si="127"/>
        <v>0</v>
      </c>
      <c r="AQ103" s="57" t="s">
        <v>184</v>
      </c>
      <c r="AV103" s="54">
        <f t="shared" si="128"/>
        <v>0</v>
      </c>
      <c r="AW103" s="54">
        <f t="shared" si="129"/>
        <v>0</v>
      </c>
      <c r="AX103" s="54">
        <f t="shared" si="130"/>
        <v>0</v>
      </c>
      <c r="AY103" s="57" t="s">
        <v>185</v>
      </c>
      <c r="AZ103" s="57" t="s">
        <v>333</v>
      </c>
      <c r="BA103" s="34" t="s">
        <v>312</v>
      </c>
      <c r="BC103" s="54">
        <f t="shared" si="131"/>
        <v>0</v>
      </c>
      <c r="BD103" s="54">
        <f t="shared" si="132"/>
        <v>0</v>
      </c>
      <c r="BE103" s="54">
        <v>0</v>
      </c>
      <c r="BF103" s="54">
        <f>103</f>
        <v>103</v>
      </c>
      <c r="BH103" s="54">
        <f t="shared" si="133"/>
        <v>0</v>
      </c>
      <c r="BI103" s="54">
        <f t="shared" si="134"/>
        <v>0</v>
      </c>
      <c r="BJ103" s="54">
        <f t="shared" si="135"/>
        <v>0</v>
      </c>
      <c r="BK103" s="57" t="s">
        <v>180</v>
      </c>
      <c r="BL103" s="54"/>
      <c r="BW103" s="54">
        <v>21</v>
      </c>
      <c r="BX103" s="3" t="s">
        <v>337</v>
      </c>
    </row>
    <row r="104" spans="1:76" ht="14.5" x14ac:dyDescent="0.35">
      <c r="A104" s="1" t="s">
        <v>338</v>
      </c>
      <c r="B104" s="2" t="s">
        <v>305</v>
      </c>
      <c r="C104" s="80" t="s">
        <v>339</v>
      </c>
      <c r="D104" s="75"/>
      <c r="E104" s="2" t="s">
        <v>224</v>
      </c>
      <c r="F104" s="54">
        <v>30</v>
      </c>
      <c r="G104" s="55">
        <v>0</v>
      </c>
      <c r="H104" s="54">
        <f t="shared" si="112"/>
        <v>0</v>
      </c>
      <c r="I104" s="54">
        <f t="shared" si="113"/>
        <v>0</v>
      </c>
      <c r="J104" s="54">
        <f t="shared" si="114"/>
        <v>0</v>
      </c>
      <c r="K104" s="56" t="s">
        <v>4</v>
      </c>
      <c r="Z104" s="54">
        <f t="shared" si="115"/>
        <v>0</v>
      </c>
      <c r="AB104" s="54">
        <f t="shared" si="116"/>
        <v>0</v>
      </c>
      <c r="AC104" s="54">
        <f t="shared" si="117"/>
        <v>0</v>
      </c>
      <c r="AD104" s="54">
        <f t="shared" si="118"/>
        <v>0</v>
      </c>
      <c r="AE104" s="54">
        <f t="shared" si="119"/>
        <v>0</v>
      </c>
      <c r="AF104" s="54">
        <f t="shared" si="120"/>
        <v>0</v>
      </c>
      <c r="AG104" s="54">
        <f t="shared" si="121"/>
        <v>0</v>
      </c>
      <c r="AH104" s="54">
        <f t="shared" si="122"/>
        <v>0</v>
      </c>
      <c r="AI104" s="34" t="s">
        <v>308</v>
      </c>
      <c r="AJ104" s="54">
        <f t="shared" si="123"/>
        <v>0</v>
      </c>
      <c r="AK104" s="54">
        <f t="shared" si="124"/>
        <v>0</v>
      </c>
      <c r="AL104" s="54">
        <f t="shared" si="125"/>
        <v>0</v>
      </c>
      <c r="AN104" s="54">
        <v>21</v>
      </c>
      <c r="AO104" s="54">
        <f t="shared" si="126"/>
        <v>0</v>
      </c>
      <c r="AP104" s="54">
        <f t="shared" si="127"/>
        <v>0</v>
      </c>
      <c r="AQ104" s="57" t="s">
        <v>184</v>
      </c>
      <c r="AV104" s="54">
        <f t="shared" si="128"/>
        <v>0</v>
      </c>
      <c r="AW104" s="54">
        <f t="shared" si="129"/>
        <v>0</v>
      </c>
      <c r="AX104" s="54">
        <f t="shared" si="130"/>
        <v>0</v>
      </c>
      <c r="AY104" s="57" t="s">
        <v>185</v>
      </c>
      <c r="AZ104" s="57" t="s">
        <v>333</v>
      </c>
      <c r="BA104" s="34" t="s">
        <v>312</v>
      </c>
      <c r="BC104" s="54">
        <f t="shared" si="131"/>
        <v>0</v>
      </c>
      <c r="BD104" s="54">
        <f t="shared" si="132"/>
        <v>0</v>
      </c>
      <c r="BE104" s="54">
        <v>0</v>
      </c>
      <c r="BF104" s="54">
        <f>104</f>
        <v>104</v>
      </c>
      <c r="BH104" s="54">
        <f t="shared" si="133"/>
        <v>0</v>
      </c>
      <c r="BI104" s="54">
        <f t="shared" si="134"/>
        <v>0</v>
      </c>
      <c r="BJ104" s="54">
        <f t="shared" si="135"/>
        <v>0</v>
      </c>
      <c r="BK104" s="57" t="s">
        <v>180</v>
      </c>
      <c r="BL104" s="54"/>
      <c r="BW104" s="54">
        <v>21</v>
      </c>
      <c r="BX104" s="3" t="s">
        <v>339</v>
      </c>
    </row>
    <row r="105" spans="1:76" ht="14.5" x14ac:dyDescent="0.35">
      <c r="A105" s="1" t="s">
        <v>340</v>
      </c>
      <c r="B105" s="2" t="s">
        <v>305</v>
      </c>
      <c r="C105" s="80" t="s">
        <v>341</v>
      </c>
      <c r="D105" s="75"/>
      <c r="E105" s="2" t="s">
        <v>224</v>
      </c>
      <c r="F105" s="54">
        <v>39</v>
      </c>
      <c r="G105" s="55">
        <v>0</v>
      </c>
      <c r="H105" s="54">
        <f t="shared" si="112"/>
        <v>0</v>
      </c>
      <c r="I105" s="54">
        <f t="shared" si="113"/>
        <v>0</v>
      </c>
      <c r="J105" s="54">
        <f t="shared" si="114"/>
        <v>0</v>
      </c>
      <c r="K105" s="56" t="s">
        <v>4</v>
      </c>
      <c r="Z105" s="54">
        <f t="shared" si="115"/>
        <v>0</v>
      </c>
      <c r="AB105" s="54">
        <f t="shared" si="116"/>
        <v>0</v>
      </c>
      <c r="AC105" s="54">
        <f t="shared" si="117"/>
        <v>0</v>
      </c>
      <c r="AD105" s="54">
        <f t="shared" si="118"/>
        <v>0</v>
      </c>
      <c r="AE105" s="54">
        <f t="shared" si="119"/>
        <v>0</v>
      </c>
      <c r="AF105" s="54">
        <f t="shared" si="120"/>
        <v>0</v>
      </c>
      <c r="AG105" s="54">
        <f t="shared" si="121"/>
        <v>0</v>
      </c>
      <c r="AH105" s="54">
        <f t="shared" si="122"/>
        <v>0</v>
      </c>
      <c r="AI105" s="34" t="s">
        <v>308</v>
      </c>
      <c r="AJ105" s="54">
        <f t="shared" si="123"/>
        <v>0</v>
      </c>
      <c r="AK105" s="54">
        <f t="shared" si="124"/>
        <v>0</v>
      </c>
      <c r="AL105" s="54">
        <f t="shared" si="125"/>
        <v>0</v>
      </c>
      <c r="AN105" s="54">
        <v>21</v>
      </c>
      <c r="AO105" s="54">
        <f t="shared" si="126"/>
        <v>0</v>
      </c>
      <c r="AP105" s="54">
        <f t="shared" si="127"/>
        <v>0</v>
      </c>
      <c r="AQ105" s="57" t="s">
        <v>184</v>
      </c>
      <c r="AV105" s="54">
        <f t="shared" si="128"/>
        <v>0</v>
      </c>
      <c r="AW105" s="54">
        <f t="shared" si="129"/>
        <v>0</v>
      </c>
      <c r="AX105" s="54">
        <f t="shared" si="130"/>
        <v>0</v>
      </c>
      <c r="AY105" s="57" t="s">
        <v>185</v>
      </c>
      <c r="AZ105" s="57" t="s">
        <v>333</v>
      </c>
      <c r="BA105" s="34" t="s">
        <v>312</v>
      </c>
      <c r="BC105" s="54">
        <f t="shared" si="131"/>
        <v>0</v>
      </c>
      <c r="BD105" s="54">
        <f t="shared" si="132"/>
        <v>0</v>
      </c>
      <c r="BE105" s="54">
        <v>0</v>
      </c>
      <c r="BF105" s="54">
        <f>105</f>
        <v>105</v>
      </c>
      <c r="BH105" s="54">
        <f t="shared" si="133"/>
        <v>0</v>
      </c>
      <c r="BI105" s="54">
        <f t="shared" si="134"/>
        <v>0</v>
      </c>
      <c r="BJ105" s="54">
        <f t="shared" si="135"/>
        <v>0</v>
      </c>
      <c r="BK105" s="57" t="s">
        <v>180</v>
      </c>
      <c r="BL105" s="54"/>
      <c r="BW105" s="54">
        <v>21</v>
      </c>
      <c r="BX105" s="3" t="s">
        <v>341</v>
      </c>
    </row>
    <row r="106" spans="1:76" ht="14.5" x14ac:dyDescent="0.35">
      <c r="A106" s="1" t="s">
        <v>342</v>
      </c>
      <c r="B106" s="2" t="s">
        <v>305</v>
      </c>
      <c r="C106" s="80" t="s">
        <v>343</v>
      </c>
      <c r="D106" s="75"/>
      <c r="E106" s="2" t="s">
        <v>224</v>
      </c>
      <c r="F106" s="54">
        <v>40</v>
      </c>
      <c r="G106" s="55">
        <v>0</v>
      </c>
      <c r="H106" s="54">
        <f t="shared" si="112"/>
        <v>0</v>
      </c>
      <c r="I106" s="54">
        <f t="shared" si="113"/>
        <v>0</v>
      </c>
      <c r="J106" s="54">
        <f t="shared" si="114"/>
        <v>0</v>
      </c>
      <c r="K106" s="56" t="s">
        <v>4</v>
      </c>
      <c r="Z106" s="54">
        <f t="shared" si="115"/>
        <v>0</v>
      </c>
      <c r="AB106" s="54">
        <f t="shared" si="116"/>
        <v>0</v>
      </c>
      <c r="AC106" s="54">
        <f t="shared" si="117"/>
        <v>0</v>
      </c>
      <c r="AD106" s="54">
        <f t="shared" si="118"/>
        <v>0</v>
      </c>
      <c r="AE106" s="54">
        <f t="shared" si="119"/>
        <v>0</v>
      </c>
      <c r="AF106" s="54">
        <f t="shared" si="120"/>
        <v>0</v>
      </c>
      <c r="AG106" s="54">
        <f t="shared" si="121"/>
        <v>0</v>
      </c>
      <c r="AH106" s="54">
        <f t="shared" si="122"/>
        <v>0</v>
      </c>
      <c r="AI106" s="34" t="s">
        <v>308</v>
      </c>
      <c r="AJ106" s="54">
        <f t="shared" si="123"/>
        <v>0</v>
      </c>
      <c r="AK106" s="54">
        <f t="shared" si="124"/>
        <v>0</v>
      </c>
      <c r="AL106" s="54">
        <f t="shared" si="125"/>
        <v>0</v>
      </c>
      <c r="AN106" s="54">
        <v>21</v>
      </c>
      <c r="AO106" s="54">
        <f t="shared" si="126"/>
        <v>0</v>
      </c>
      <c r="AP106" s="54">
        <f t="shared" si="127"/>
        <v>0</v>
      </c>
      <c r="AQ106" s="57" t="s">
        <v>184</v>
      </c>
      <c r="AV106" s="54">
        <f t="shared" si="128"/>
        <v>0</v>
      </c>
      <c r="AW106" s="54">
        <f t="shared" si="129"/>
        <v>0</v>
      </c>
      <c r="AX106" s="54">
        <f t="shared" si="130"/>
        <v>0</v>
      </c>
      <c r="AY106" s="57" t="s">
        <v>185</v>
      </c>
      <c r="AZ106" s="57" t="s">
        <v>333</v>
      </c>
      <c r="BA106" s="34" t="s">
        <v>312</v>
      </c>
      <c r="BC106" s="54">
        <f t="shared" si="131"/>
        <v>0</v>
      </c>
      <c r="BD106" s="54">
        <f t="shared" si="132"/>
        <v>0</v>
      </c>
      <c r="BE106" s="54">
        <v>0</v>
      </c>
      <c r="BF106" s="54">
        <f>106</f>
        <v>106</v>
      </c>
      <c r="BH106" s="54">
        <f t="shared" si="133"/>
        <v>0</v>
      </c>
      <c r="BI106" s="54">
        <f t="shared" si="134"/>
        <v>0</v>
      </c>
      <c r="BJ106" s="54">
        <f t="shared" si="135"/>
        <v>0</v>
      </c>
      <c r="BK106" s="57" t="s">
        <v>180</v>
      </c>
      <c r="BL106" s="54"/>
      <c r="BW106" s="54">
        <v>21</v>
      </c>
      <c r="BX106" s="3" t="s">
        <v>343</v>
      </c>
    </row>
    <row r="107" spans="1:76" ht="14.5" x14ac:dyDescent="0.35">
      <c r="A107" s="60" t="s">
        <v>4</v>
      </c>
      <c r="B107" s="61" t="s">
        <v>4</v>
      </c>
      <c r="C107" s="164" t="s">
        <v>344</v>
      </c>
      <c r="D107" s="165"/>
      <c r="E107" s="62" t="s">
        <v>70</v>
      </c>
      <c r="F107" s="62" t="s">
        <v>70</v>
      </c>
      <c r="G107" s="52" t="s">
        <v>70</v>
      </c>
      <c r="H107" s="63">
        <f>ROUND(SUM(H108,H116,H118),2)</f>
        <v>0</v>
      </c>
      <c r="I107" s="63">
        <f>ROUND(SUM(I108,I116,I118),2)</f>
        <v>0</v>
      </c>
      <c r="J107" s="63">
        <f>ROUND(SUM(J108,J116,J118),2)</f>
        <v>0</v>
      </c>
      <c r="K107" s="64" t="s">
        <v>4</v>
      </c>
    </row>
    <row r="108" spans="1:76" ht="14.5" x14ac:dyDescent="0.35">
      <c r="A108" s="49" t="s">
        <v>4</v>
      </c>
      <c r="B108" s="50" t="s">
        <v>191</v>
      </c>
      <c r="C108" s="158" t="s">
        <v>196</v>
      </c>
      <c r="D108" s="159"/>
      <c r="E108" s="51" t="s">
        <v>70</v>
      </c>
      <c r="F108" s="51" t="s">
        <v>70</v>
      </c>
      <c r="G108" s="52" t="s">
        <v>70</v>
      </c>
      <c r="H108" s="28">
        <f>ROUND(SUM(H109:H115),2)</f>
        <v>0</v>
      </c>
      <c r="I108" s="28">
        <f>ROUND(SUM(I109:I115),2)</f>
        <v>0</v>
      </c>
      <c r="J108" s="28">
        <f>ROUND(SUM(J109:J115),2)</f>
        <v>0</v>
      </c>
      <c r="K108" s="53" t="s">
        <v>4</v>
      </c>
      <c r="AI108" s="34" t="s">
        <v>345</v>
      </c>
      <c r="AS108" s="28">
        <f>SUM(AJ109:AJ115)</f>
        <v>0</v>
      </c>
      <c r="AT108" s="28">
        <f>SUM(AK109:AK115)</f>
        <v>0</v>
      </c>
      <c r="AU108" s="28">
        <f>SUM(AL109:AL115)</f>
        <v>0</v>
      </c>
    </row>
    <row r="109" spans="1:76" ht="14.5" x14ac:dyDescent="0.35">
      <c r="A109" s="1" t="s">
        <v>346</v>
      </c>
      <c r="B109" s="2" t="s">
        <v>347</v>
      </c>
      <c r="C109" s="80" t="s">
        <v>348</v>
      </c>
      <c r="D109" s="75"/>
      <c r="E109" s="2" t="s">
        <v>113</v>
      </c>
      <c r="F109" s="54">
        <v>10</v>
      </c>
      <c r="G109" s="55">
        <v>0</v>
      </c>
      <c r="H109" s="54">
        <f t="shared" ref="H109:H115" si="136">ROUND(F109*AO109,2)</f>
        <v>0</v>
      </c>
      <c r="I109" s="54">
        <f t="shared" ref="I109:I115" si="137">ROUND(F109*AP109,2)</f>
        <v>0</v>
      </c>
      <c r="J109" s="54">
        <f t="shared" ref="J109:J115" si="138">ROUND(F109*G109,2)</f>
        <v>0</v>
      </c>
      <c r="K109" s="56" t="s">
        <v>121</v>
      </c>
      <c r="Z109" s="54">
        <f t="shared" ref="Z109:Z115" si="139">ROUND(IF(AQ109="5",BJ109,0),2)</f>
        <v>0</v>
      </c>
      <c r="AB109" s="54">
        <f t="shared" ref="AB109:AB115" si="140">ROUND(IF(AQ109="1",BH109,0),2)</f>
        <v>0</v>
      </c>
      <c r="AC109" s="54">
        <f t="shared" ref="AC109:AC115" si="141">ROUND(IF(AQ109="1",BI109,0),2)</f>
        <v>0</v>
      </c>
      <c r="AD109" s="54">
        <f t="shared" ref="AD109:AD115" si="142">ROUND(IF(AQ109="7",BH109,0),2)</f>
        <v>0</v>
      </c>
      <c r="AE109" s="54">
        <f t="shared" ref="AE109:AE115" si="143">ROUND(IF(AQ109="7",BI109,0),2)</f>
        <v>0</v>
      </c>
      <c r="AF109" s="54">
        <f t="shared" ref="AF109:AF115" si="144">ROUND(IF(AQ109="2",BH109,0),2)</f>
        <v>0</v>
      </c>
      <c r="AG109" s="54">
        <f t="shared" ref="AG109:AG115" si="145">ROUND(IF(AQ109="2",BI109,0),2)</f>
        <v>0</v>
      </c>
      <c r="AH109" s="54">
        <f t="shared" ref="AH109:AH115" si="146">ROUND(IF(AQ109="0",BJ109,0),2)</f>
        <v>0</v>
      </c>
      <c r="AI109" s="34" t="s">
        <v>345</v>
      </c>
      <c r="AJ109" s="54">
        <f t="shared" ref="AJ109:AJ115" si="147">IF(AN109=0,J109,0)</f>
        <v>0</v>
      </c>
      <c r="AK109" s="54">
        <f t="shared" ref="AK109:AK115" si="148">IF(AN109=12,J109,0)</f>
        <v>0</v>
      </c>
      <c r="AL109" s="54">
        <f t="shared" ref="AL109:AL115" si="149">IF(AN109=21,J109,0)</f>
        <v>0</v>
      </c>
      <c r="AN109" s="54">
        <v>21</v>
      </c>
      <c r="AO109" s="54">
        <f>G109*0.245559503</f>
        <v>0</v>
      </c>
      <c r="AP109" s="54">
        <f>G109*(1-0.245559503)</f>
        <v>0</v>
      </c>
      <c r="AQ109" s="57" t="s">
        <v>110</v>
      </c>
      <c r="AV109" s="54">
        <f t="shared" ref="AV109:AV115" si="150">ROUND(AW109+AX109,2)</f>
        <v>0</v>
      </c>
      <c r="AW109" s="54">
        <f t="shared" ref="AW109:AW115" si="151">ROUND(F109*AO109,2)</f>
        <v>0</v>
      </c>
      <c r="AX109" s="54">
        <f t="shared" ref="AX109:AX115" si="152">ROUND(F109*AP109,2)</f>
        <v>0</v>
      </c>
      <c r="AY109" s="57" t="s">
        <v>201</v>
      </c>
      <c r="AZ109" s="57" t="s">
        <v>349</v>
      </c>
      <c r="BA109" s="34" t="s">
        <v>350</v>
      </c>
      <c r="BC109" s="54">
        <f t="shared" ref="BC109:BC115" si="153">AW109+AX109</f>
        <v>0</v>
      </c>
      <c r="BD109" s="54">
        <f t="shared" ref="BD109:BD115" si="154">G109/(100-BE109)*100</f>
        <v>0</v>
      </c>
      <c r="BE109" s="54">
        <v>0</v>
      </c>
      <c r="BF109" s="54">
        <f>109</f>
        <v>109</v>
      </c>
      <c r="BH109" s="54">
        <f t="shared" ref="BH109:BH115" si="155">F109*AO109</f>
        <v>0</v>
      </c>
      <c r="BI109" s="54">
        <f t="shared" ref="BI109:BI115" si="156">F109*AP109</f>
        <v>0</v>
      </c>
      <c r="BJ109" s="54">
        <f t="shared" ref="BJ109:BJ115" si="157">F109*G109</f>
        <v>0</v>
      </c>
      <c r="BK109" s="57" t="s">
        <v>117</v>
      </c>
      <c r="BL109" s="54">
        <v>18</v>
      </c>
      <c r="BW109" s="54">
        <v>21</v>
      </c>
      <c r="BX109" s="3" t="s">
        <v>348</v>
      </c>
    </row>
    <row r="110" spans="1:76" ht="14.5" x14ac:dyDescent="0.35">
      <c r="A110" s="1" t="s">
        <v>351</v>
      </c>
      <c r="B110" s="2" t="s">
        <v>352</v>
      </c>
      <c r="C110" s="80" t="s">
        <v>353</v>
      </c>
      <c r="D110" s="75"/>
      <c r="E110" s="2" t="s">
        <v>113</v>
      </c>
      <c r="F110" s="54">
        <v>50</v>
      </c>
      <c r="G110" s="55">
        <v>0</v>
      </c>
      <c r="H110" s="54">
        <f t="shared" si="136"/>
        <v>0</v>
      </c>
      <c r="I110" s="54">
        <f t="shared" si="137"/>
        <v>0</v>
      </c>
      <c r="J110" s="54">
        <f t="shared" si="138"/>
        <v>0</v>
      </c>
      <c r="K110" s="56" t="s">
        <v>121</v>
      </c>
      <c r="Z110" s="54">
        <f t="shared" si="139"/>
        <v>0</v>
      </c>
      <c r="AB110" s="54">
        <f t="shared" si="140"/>
        <v>0</v>
      </c>
      <c r="AC110" s="54">
        <f t="shared" si="141"/>
        <v>0</v>
      </c>
      <c r="AD110" s="54">
        <f t="shared" si="142"/>
        <v>0</v>
      </c>
      <c r="AE110" s="54">
        <f t="shared" si="143"/>
        <v>0</v>
      </c>
      <c r="AF110" s="54">
        <f t="shared" si="144"/>
        <v>0</v>
      </c>
      <c r="AG110" s="54">
        <f t="shared" si="145"/>
        <v>0</v>
      </c>
      <c r="AH110" s="54">
        <f t="shared" si="146"/>
        <v>0</v>
      </c>
      <c r="AI110" s="34" t="s">
        <v>345</v>
      </c>
      <c r="AJ110" s="54">
        <f t="shared" si="147"/>
        <v>0</v>
      </c>
      <c r="AK110" s="54">
        <f t="shared" si="148"/>
        <v>0</v>
      </c>
      <c r="AL110" s="54">
        <f t="shared" si="149"/>
        <v>0</v>
      </c>
      <c r="AN110" s="54">
        <v>21</v>
      </c>
      <c r="AO110" s="54">
        <f>G110*0.316783456</f>
        <v>0</v>
      </c>
      <c r="AP110" s="54">
        <f>G110*(1-0.316783456)</f>
        <v>0</v>
      </c>
      <c r="AQ110" s="57" t="s">
        <v>110</v>
      </c>
      <c r="AV110" s="54">
        <f t="shared" si="150"/>
        <v>0</v>
      </c>
      <c r="AW110" s="54">
        <f t="shared" si="151"/>
        <v>0</v>
      </c>
      <c r="AX110" s="54">
        <f t="shared" si="152"/>
        <v>0</v>
      </c>
      <c r="AY110" s="57" t="s">
        <v>201</v>
      </c>
      <c r="AZ110" s="57" t="s">
        <v>349</v>
      </c>
      <c r="BA110" s="34" t="s">
        <v>350</v>
      </c>
      <c r="BC110" s="54">
        <f t="shared" si="153"/>
        <v>0</v>
      </c>
      <c r="BD110" s="54">
        <f t="shared" si="154"/>
        <v>0</v>
      </c>
      <c r="BE110" s="54">
        <v>0</v>
      </c>
      <c r="BF110" s="54">
        <f>110</f>
        <v>110</v>
      </c>
      <c r="BH110" s="54">
        <f t="shared" si="155"/>
        <v>0</v>
      </c>
      <c r="BI110" s="54">
        <f t="shared" si="156"/>
        <v>0</v>
      </c>
      <c r="BJ110" s="54">
        <f t="shared" si="157"/>
        <v>0</v>
      </c>
      <c r="BK110" s="57" t="s">
        <v>117</v>
      </c>
      <c r="BL110" s="54">
        <v>18</v>
      </c>
      <c r="BW110" s="54">
        <v>21</v>
      </c>
      <c r="BX110" s="3" t="s">
        <v>353</v>
      </c>
    </row>
    <row r="111" spans="1:76" ht="14.5" x14ac:dyDescent="0.35">
      <c r="A111" s="1" t="s">
        <v>354</v>
      </c>
      <c r="B111" s="2" t="s">
        <v>355</v>
      </c>
      <c r="C111" s="80" t="s">
        <v>356</v>
      </c>
      <c r="D111" s="75"/>
      <c r="E111" s="2" t="s">
        <v>113</v>
      </c>
      <c r="F111" s="54">
        <v>10</v>
      </c>
      <c r="G111" s="55">
        <v>0</v>
      </c>
      <c r="H111" s="54">
        <f t="shared" si="136"/>
        <v>0</v>
      </c>
      <c r="I111" s="54">
        <f t="shared" si="137"/>
        <v>0</v>
      </c>
      <c r="J111" s="54">
        <f t="shared" si="138"/>
        <v>0</v>
      </c>
      <c r="K111" s="56" t="s">
        <v>121</v>
      </c>
      <c r="Z111" s="54">
        <f t="shared" si="139"/>
        <v>0</v>
      </c>
      <c r="AB111" s="54">
        <f t="shared" si="140"/>
        <v>0</v>
      </c>
      <c r="AC111" s="54">
        <f t="shared" si="141"/>
        <v>0</v>
      </c>
      <c r="AD111" s="54">
        <f t="shared" si="142"/>
        <v>0</v>
      </c>
      <c r="AE111" s="54">
        <f t="shared" si="143"/>
        <v>0</v>
      </c>
      <c r="AF111" s="54">
        <f t="shared" si="144"/>
        <v>0</v>
      </c>
      <c r="AG111" s="54">
        <f t="shared" si="145"/>
        <v>0</v>
      </c>
      <c r="AH111" s="54">
        <f t="shared" si="146"/>
        <v>0</v>
      </c>
      <c r="AI111" s="34" t="s">
        <v>345</v>
      </c>
      <c r="AJ111" s="54">
        <f t="shared" si="147"/>
        <v>0</v>
      </c>
      <c r="AK111" s="54">
        <f t="shared" si="148"/>
        <v>0</v>
      </c>
      <c r="AL111" s="54">
        <f t="shared" si="149"/>
        <v>0</v>
      </c>
      <c r="AN111" s="54">
        <v>21</v>
      </c>
      <c r="AO111" s="54">
        <f>G111*0</f>
        <v>0</v>
      </c>
      <c r="AP111" s="54">
        <f>G111*(1-0)</f>
        <v>0</v>
      </c>
      <c r="AQ111" s="57" t="s">
        <v>110</v>
      </c>
      <c r="AV111" s="54">
        <f t="shared" si="150"/>
        <v>0</v>
      </c>
      <c r="AW111" s="54">
        <f t="shared" si="151"/>
        <v>0</v>
      </c>
      <c r="AX111" s="54">
        <f t="shared" si="152"/>
        <v>0</v>
      </c>
      <c r="AY111" s="57" t="s">
        <v>201</v>
      </c>
      <c r="AZ111" s="57" t="s">
        <v>349</v>
      </c>
      <c r="BA111" s="34" t="s">
        <v>350</v>
      </c>
      <c r="BC111" s="54">
        <f t="shared" si="153"/>
        <v>0</v>
      </c>
      <c r="BD111" s="54">
        <f t="shared" si="154"/>
        <v>0</v>
      </c>
      <c r="BE111" s="54">
        <v>0</v>
      </c>
      <c r="BF111" s="54">
        <f>111</f>
        <v>111</v>
      </c>
      <c r="BH111" s="54">
        <f t="shared" si="155"/>
        <v>0</v>
      </c>
      <c r="BI111" s="54">
        <f t="shared" si="156"/>
        <v>0</v>
      </c>
      <c r="BJ111" s="54">
        <f t="shared" si="157"/>
        <v>0</v>
      </c>
      <c r="BK111" s="57" t="s">
        <v>117</v>
      </c>
      <c r="BL111" s="54">
        <v>18</v>
      </c>
      <c r="BW111" s="54">
        <v>21</v>
      </c>
      <c r="BX111" s="3" t="s">
        <v>356</v>
      </c>
    </row>
    <row r="112" spans="1:76" ht="14.5" x14ac:dyDescent="0.35">
      <c r="A112" s="1" t="s">
        <v>357</v>
      </c>
      <c r="B112" s="2" t="s">
        <v>358</v>
      </c>
      <c r="C112" s="80" t="s">
        <v>359</v>
      </c>
      <c r="D112" s="75"/>
      <c r="E112" s="2" t="s">
        <v>113</v>
      </c>
      <c r="F112" s="54">
        <v>50</v>
      </c>
      <c r="G112" s="55">
        <v>0</v>
      </c>
      <c r="H112" s="54">
        <f t="shared" si="136"/>
        <v>0</v>
      </c>
      <c r="I112" s="54">
        <f t="shared" si="137"/>
        <v>0</v>
      </c>
      <c r="J112" s="54">
        <f t="shared" si="138"/>
        <v>0</v>
      </c>
      <c r="K112" s="56" t="s">
        <v>121</v>
      </c>
      <c r="Z112" s="54">
        <f t="shared" si="139"/>
        <v>0</v>
      </c>
      <c r="AB112" s="54">
        <f t="shared" si="140"/>
        <v>0</v>
      </c>
      <c r="AC112" s="54">
        <f t="shared" si="141"/>
        <v>0</v>
      </c>
      <c r="AD112" s="54">
        <f t="shared" si="142"/>
        <v>0</v>
      </c>
      <c r="AE112" s="54">
        <f t="shared" si="143"/>
        <v>0</v>
      </c>
      <c r="AF112" s="54">
        <f t="shared" si="144"/>
        <v>0</v>
      </c>
      <c r="AG112" s="54">
        <f t="shared" si="145"/>
        <v>0</v>
      </c>
      <c r="AH112" s="54">
        <f t="shared" si="146"/>
        <v>0</v>
      </c>
      <c r="AI112" s="34" t="s">
        <v>345</v>
      </c>
      <c r="AJ112" s="54">
        <f t="shared" si="147"/>
        <v>0</v>
      </c>
      <c r="AK112" s="54">
        <f t="shared" si="148"/>
        <v>0</v>
      </c>
      <c r="AL112" s="54">
        <f t="shared" si="149"/>
        <v>0</v>
      </c>
      <c r="AN112" s="54">
        <v>21</v>
      </c>
      <c r="AO112" s="54">
        <f>G112*0</f>
        <v>0</v>
      </c>
      <c r="AP112" s="54">
        <f>G112*(1-0)</f>
        <v>0</v>
      </c>
      <c r="AQ112" s="57" t="s">
        <v>110</v>
      </c>
      <c r="AV112" s="54">
        <f t="shared" si="150"/>
        <v>0</v>
      </c>
      <c r="AW112" s="54">
        <f t="shared" si="151"/>
        <v>0</v>
      </c>
      <c r="AX112" s="54">
        <f t="shared" si="152"/>
        <v>0</v>
      </c>
      <c r="AY112" s="57" t="s">
        <v>201</v>
      </c>
      <c r="AZ112" s="57" t="s">
        <v>349</v>
      </c>
      <c r="BA112" s="34" t="s">
        <v>350</v>
      </c>
      <c r="BC112" s="54">
        <f t="shared" si="153"/>
        <v>0</v>
      </c>
      <c r="BD112" s="54">
        <f t="shared" si="154"/>
        <v>0</v>
      </c>
      <c r="BE112" s="54">
        <v>0</v>
      </c>
      <c r="BF112" s="54">
        <f>112</f>
        <v>112</v>
      </c>
      <c r="BH112" s="54">
        <f t="shared" si="155"/>
        <v>0</v>
      </c>
      <c r="BI112" s="54">
        <f t="shared" si="156"/>
        <v>0</v>
      </c>
      <c r="BJ112" s="54">
        <f t="shared" si="157"/>
        <v>0</v>
      </c>
      <c r="BK112" s="57" t="s">
        <v>117</v>
      </c>
      <c r="BL112" s="54">
        <v>18</v>
      </c>
      <c r="BW112" s="54">
        <v>21</v>
      </c>
      <c r="BX112" s="3" t="s">
        <v>359</v>
      </c>
    </row>
    <row r="113" spans="1:76" ht="14.5" x14ac:dyDescent="0.35">
      <c r="A113" s="1" t="s">
        <v>360</v>
      </c>
      <c r="B113" s="2" t="s">
        <v>361</v>
      </c>
      <c r="C113" s="80" t="s">
        <v>362</v>
      </c>
      <c r="D113" s="75"/>
      <c r="E113" s="2" t="s">
        <v>113</v>
      </c>
      <c r="F113" s="54">
        <v>10</v>
      </c>
      <c r="G113" s="55">
        <v>0</v>
      </c>
      <c r="H113" s="54">
        <f t="shared" si="136"/>
        <v>0</v>
      </c>
      <c r="I113" s="54">
        <f t="shared" si="137"/>
        <v>0</v>
      </c>
      <c r="J113" s="54">
        <f t="shared" si="138"/>
        <v>0</v>
      </c>
      <c r="K113" s="56" t="s">
        <v>121</v>
      </c>
      <c r="Z113" s="54">
        <f t="shared" si="139"/>
        <v>0</v>
      </c>
      <c r="AB113" s="54">
        <f t="shared" si="140"/>
        <v>0</v>
      </c>
      <c r="AC113" s="54">
        <f t="shared" si="141"/>
        <v>0</v>
      </c>
      <c r="AD113" s="54">
        <f t="shared" si="142"/>
        <v>0</v>
      </c>
      <c r="AE113" s="54">
        <f t="shared" si="143"/>
        <v>0</v>
      </c>
      <c r="AF113" s="54">
        <f t="shared" si="144"/>
        <v>0</v>
      </c>
      <c r="AG113" s="54">
        <f t="shared" si="145"/>
        <v>0</v>
      </c>
      <c r="AH113" s="54">
        <f t="shared" si="146"/>
        <v>0</v>
      </c>
      <c r="AI113" s="34" t="s">
        <v>345</v>
      </c>
      <c r="AJ113" s="54">
        <f t="shared" si="147"/>
        <v>0</v>
      </c>
      <c r="AK113" s="54">
        <f t="shared" si="148"/>
        <v>0</v>
      </c>
      <c r="AL113" s="54">
        <f t="shared" si="149"/>
        <v>0</v>
      </c>
      <c r="AN113" s="54">
        <v>21</v>
      </c>
      <c r="AO113" s="54">
        <f>G113*0.066867635</f>
        <v>0</v>
      </c>
      <c r="AP113" s="54">
        <f>G113*(1-0.066867635)</f>
        <v>0</v>
      </c>
      <c r="AQ113" s="57" t="s">
        <v>110</v>
      </c>
      <c r="AV113" s="54">
        <f t="shared" si="150"/>
        <v>0</v>
      </c>
      <c r="AW113" s="54">
        <f t="shared" si="151"/>
        <v>0</v>
      </c>
      <c r="AX113" s="54">
        <f t="shared" si="152"/>
        <v>0</v>
      </c>
      <c r="AY113" s="57" t="s">
        <v>201</v>
      </c>
      <c r="AZ113" s="57" t="s">
        <v>349</v>
      </c>
      <c r="BA113" s="34" t="s">
        <v>350</v>
      </c>
      <c r="BC113" s="54">
        <f t="shared" si="153"/>
        <v>0</v>
      </c>
      <c r="BD113" s="54">
        <f t="shared" si="154"/>
        <v>0</v>
      </c>
      <c r="BE113" s="54">
        <v>0</v>
      </c>
      <c r="BF113" s="54">
        <f>113</f>
        <v>113</v>
      </c>
      <c r="BH113" s="54">
        <f t="shared" si="155"/>
        <v>0</v>
      </c>
      <c r="BI113" s="54">
        <f t="shared" si="156"/>
        <v>0</v>
      </c>
      <c r="BJ113" s="54">
        <f t="shared" si="157"/>
        <v>0</v>
      </c>
      <c r="BK113" s="57" t="s">
        <v>117</v>
      </c>
      <c r="BL113" s="54">
        <v>18</v>
      </c>
      <c r="BW113" s="54">
        <v>21</v>
      </c>
      <c r="BX113" s="3" t="s">
        <v>362</v>
      </c>
    </row>
    <row r="114" spans="1:76" ht="14.5" x14ac:dyDescent="0.35">
      <c r="A114" s="1" t="s">
        <v>363</v>
      </c>
      <c r="B114" s="2" t="s">
        <v>364</v>
      </c>
      <c r="C114" s="80" t="s">
        <v>365</v>
      </c>
      <c r="D114" s="75"/>
      <c r="E114" s="2" t="s">
        <v>113</v>
      </c>
      <c r="F114" s="54">
        <v>50</v>
      </c>
      <c r="G114" s="55">
        <v>0</v>
      </c>
      <c r="H114" s="54">
        <f t="shared" si="136"/>
        <v>0</v>
      </c>
      <c r="I114" s="54">
        <f t="shared" si="137"/>
        <v>0</v>
      </c>
      <c r="J114" s="54">
        <f t="shared" si="138"/>
        <v>0</v>
      </c>
      <c r="K114" s="56" t="s">
        <v>121</v>
      </c>
      <c r="Z114" s="54">
        <f t="shared" si="139"/>
        <v>0</v>
      </c>
      <c r="AB114" s="54">
        <f t="shared" si="140"/>
        <v>0</v>
      </c>
      <c r="AC114" s="54">
        <f t="shared" si="141"/>
        <v>0</v>
      </c>
      <c r="AD114" s="54">
        <f t="shared" si="142"/>
        <v>0</v>
      </c>
      <c r="AE114" s="54">
        <f t="shared" si="143"/>
        <v>0</v>
      </c>
      <c r="AF114" s="54">
        <f t="shared" si="144"/>
        <v>0</v>
      </c>
      <c r="AG114" s="54">
        <f t="shared" si="145"/>
        <v>0</v>
      </c>
      <c r="AH114" s="54">
        <f t="shared" si="146"/>
        <v>0</v>
      </c>
      <c r="AI114" s="34" t="s">
        <v>345</v>
      </c>
      <c r="AJ114" s="54">
        <f t="shared" si="147"/>
        <v>0</v>
      </c>
      <c r="AK114" s="54">
        <f t="shared" si="148"/>
        <v>0</v>
      </c>
      <c r="AL114" s="54">
        <f t="shared" si="149"/>
        <v>0</v>
      </c>
      <c r="AN114" s="54">
        <v>21</v>
      </c>
      <c r="AO114" s="54">
        <f>G114*0.043262411</f>
        <v>0</v>
      </c>
      <c r="AP114" s="54">
        <f>G114*(1-0.043262411)</f>
        <v>0</v>
      </c>
      <c r="AQ114" s="57" t="s">
        <v>110</v>
      </c>
      <c r="AV114" s="54">
        <f t="shared" si="150"/>
        <v>0</v>
      </c>
      <c r="AW114" s="54">
        <f t="shared" si="151"/>
        <v>0</v>
      </c>
      <c r="AX114" s="54">
        <f t="shared" si="152"/>
        <v>0</v>
      </c>
      <c r="AY114" s="57" t="s">
        <v>201</v>
      </c>
      <c r="AZ114" s="57" t="s">
        <v>349</v>
      </c>
      <c r="BA114" s="34" t="s">
        <v>350</v>
      </c>
      <c r="BC114" s="54">
        <f t="shared" si="153"/>
        <v>0</v>
      </c>
      <c r="BD114" s="54">
        <f t="shared" si="154"/>
        <v>0</v>
      </c>
      <c r="BE114" s="54">
        <v>0</v>
      </c>
      <c r="BF114" s="54">
        <f>114</f>
        <v>114</v>
      </c>
      <c r="BH114" s="54">
        <f t="shared" si="155"/>
        <v>0</v>
      </c>
      <c r="BI114" s="54">
        <f t="shared" si="156"/>
        <v>0</v>
      </c>
      <c r="BJ114" s="54">
        <f t="shared" si="157"/>
        <v>0</v>
      </c>
      <c r="BK114" s="57" t="s">
        <v>117</v>
      </c>
      <c r="BL114" s="54">
        <v>18</v>
      </c>
      <c r="BW114" s="54">
        <v>21</v>
      </c>
      <c r="BX114" s="3" t="s">
        <v>365</v>
      </c>
    </row>
    <row r="115" spans="1:76" ht="14.5" x14ac:dyDescent="0.35">
      <c r="A115" s="1" t="s">
        <v>366</v>
      </c>
      <c r="B115" s="2" t="s">
        <v>367</v>
      </c>
      <c r="C115" s="80" t="s">
        <v>368</v>
      </c>
      <c r="D115" s="75"/>
      <c r="E115" s="2" t="s">
        <v>174</v>
      </c>
      <c r="F115" s="54">
        <v>1.2</v>
      </c>
      <c r="G115" s="55">
        <v>0</v>
      </c>
      <c r="H115" s="54">
        <f t="shared" si="136"/>
        <v>0</v>
      </c>
      <c r="I115" s="54">
        <f t="shared" si="137"/>
        <v>0</v>
      </c>
      <c r="J115" s="54">
        <f t="shared" si="138"/>
        <v>0</v>
      </c>
      <c r="K115" s="56" t="s">
        <v>121</v>
      </c>
      <c r="Z115" s="54">
        <f t="shared" si="139"/>
        <v>0</v>
      </c>
      <c r="AB115" s="54">
        <f t="shared" si="140"/>
        <v>0</v>
      </c>
      <c r="AC115" s="54">
        <f t="shared" si="141"/>
        <v>0</v>
      </c>
      <c r="AD115" s="54">
        <f t="shared" si="142"/>
        <v>0</v>
      </c>
      <c r="AE115" s="54">
        <f t="shared" si="143"/>
        <v>0</v>
      </c>
      <c r="AF115" s="54">
        <f t="shared" si="144"/>
        <v>0</v>
      </c>
      <c r="AG115" s="54">
        <f t="shared" si="145"/>
        <v>0</v>
      </c>
      <c r="AH115" s="54">
        <f t="shared" si="146"/>
        <v>0</v>
      </c>
      <c r="AI115" s="34" t="s">
        <v>345</v>
      </c>
      <c r="AJ115" s="54">
        <f t="shared" si="147"/>
        <v>0</v>
      </c>
      <c r="AK115" s="54">
        <f t="shared" si="148"/>
        <v>0</v>
      </c>
      <c r="AL115" s="54">
        <f t="shared" si="149"/>
        <v>0</v>
      </c>
      <c r="AN115" s="54">
        <v>21</v>
      </c>
      <c r="AO115" s="54">
        <f>G115*0.292828526</f>
        <v>0</v>
      </c>
      <c r="AP115" s="54">
        <f>G115*(1-0.292828526)</f>
        <v>0</v>
      </c>
      <c r="AQ115" s="57" t="s">
        <v>110</v>
      </c>
      <c r="AV115" s="54">
        <f t="shared" si="150"/>
        <v>0</v>
      </c>
      <c r="AW115" s="54">
        <f t="shared" si="151"/>
        <v>0</v>
      </c>
      <c r="AX115" s="54">
        <f t="shared" si="152"/>
        <v>0</v>
      </c>
      <c r="AY115" s="57" t="s">
        <v>201</v>
      </c>
      <c r="AZ115" s="57" t="s">
        <v>349</v>
      </c>
      <c r="BA115" s="34" t="s">
        <v>350</v>
      </c>
      <c r="BC115" s="54">
        <f t="shared" si="153"/>
        <v>0</v>
      </c>
      <c r="BD115" s="54">
        <f t="shared" si="154"/>
        <v>0</v>
      </c>
      <c r="BE115" s="54">
        <v>0</v>
      </c>
      <c r="BF115" s="54">
        <f>115</f>
        <v>115</v>
      </c>
      <c r="BH115" s="54">
        <f t="shared" si="155"/>
        <v>0</v>
      </c>
      <c r="BI115" s="54">
        <f t="shared" si="156"/>
        <v>0</v>
      </c>
      <c r="BJ115" s="54">
        <f t="shared" si="157"/>
        <v>0</v>
      </c>
      <c r="BK115" s="57" t="s">
        <v>117</v>
      </c>
      <c r="BL115" s="54">
        <v>18</v>
      </c>
      <c r="BW115" s="54">
        <v>21</v>
      </c>
      <c r="BX115" s="3" t="s">
        <v>368</v>
      </c>
    </row>
    <row r="116" spans="1:76" ht="14.5" x14ac:dyDescent="0.35">
      <c r="A116" s="49" t="s">
        <v>4</v>
      </c>
      <c r="B116" s="50" t="s">
        <v>161</v>
      </c>
      <c r="C116" s="158" t="s">
        <v>162</v>
      </c>
      <c r="D116" s="159"/>
      <c r="E116" s="51" t="s">
        <v>70</v>
      </c>
      <c r="F116" s="51" t="s">
        <v>70</v>
      </c>
      <c r="G116" s="52" t="s">
        <v>70</v>
      </c>
      <c r="H116" s="28">
        <f>ROUND(SUM(H117:H117),2)</f>
        <v>0</v>
      </c>
      <c r="I116" s="28">
        <f>ROUND(SUM(I117:I117),2)</f>
        <v>0</v>
      </c>
      <c r="J116" s="28">
        <f>ROUND(SUM(J117:J117),2)</f>
        <v>0</v>
      </c>
      <c r="K116" s="53" t="s">
        <v>4</v>
      </c>
      <c r="AI116" s="34" t="s">
        <v>345</v>
      </c>
      <c r="AS116" s="28">
        <f>SUM(AJ117:AJ117)</f>
        <v>0</v>
      </c>
      <c r="AT116" s="28">
        <f>SUM(AK117:AK117)</f>
        <v>0</v>
      </c>
      <c r="AU116" s="28">
        <f>SUM(AL117:AL117)</f>
        <v>0</v>
      </c>
    </row>
    <row r="117" spans="1:76" ht="14.5" x14ac:dyDescent="0.35">
      <c r="A117" s="1" t="s">
        <v>369</v>
      </c>
      <c r="B117" s="2" t="s">
        <v>164</v>
      </c>
      <c r="C117" s="80" t="s">
        <v>165</v>
      </c>
      <c r="D117" s="75"/>
      <c r="E117" s="2" t="s">
        <v>166</v>
      </c>
      <c r="F117" s="54">
        <v>0.01</v>
      </c>
      <c r="G117" s="55">
        <v>0</v>
      </c>
      <c r="H117" s="54">
        <f>ROUND(F117*AO117,2)</f>
        <v>0</v>
      </c>
      <c r="I117" s="54">
        <f>ROUND(F117*AP117,2)</f>
        <v>0</v>
      </c>
      <c r="J117" s="54">
        <f>ROUND(F117*G117,2)</f>
        <v>0</v>
      </c>
      <c r="K117" s="56" t="s">
        <v>121</v>
      </c>
      <c r="Z117" s="54">
        <f>ROUND(IF(AQ117="5",BJ117,0),2)</f>
        <v>0</v>
      </c>
      <c r="AB117" s="54">
        <f>ROUND(IF(AQ117="1",BH117,0),2)</f>
        <v>0</v>
      </c>
      <c r="AC117" s="54">
        <f>ROUND(IF(AQ117="1",BI117,0),2)</f>
        <v>0</v>
      </c>
      <c r="AD117" s="54">
        <f>ROUND(IF(AQ117="7",BH117,0),2)</f>
        <v>0</v>
      </c>
      <c r="AE117" s="54">
        <f>ROUND(IF(AQ117="7",BI117,0),2)</f>
        <v>0</v>
      </c>
      <c r="AF117" s="54">
        <f>ROUND(IF(AQ117="2",BH117,0),2)</f>
        <v>0</v>
      </c>
      <c r="AG117" s="54">
        <f>ROUND(IF(AQ117="2",BI117,0),2)</f>
        <v>0</v>
      </c>
      <c r="AH117" s="54">
        <f>ROUND(IF(AQ117="0",BJ117,0),2)</f>
        <v>0</v>
      </c>
      <c r="AI117" s="34" t="s">
        <v>345</v>
      </c>
      <c r="AJ117" s="54">
        <f>IF(AN117=0,J117,0)</f>
        <v>0</v>
      </c>
      <c r="AK117" s="54">
        <f>IF(AN117=12,J117,0)</f>
        <v>0</v>
      </c>
      <c r="AL117" s="54">
        <f>IF(AN117=21,J117,0)</f>
        <v>0</v>
      </c>
      <c r="AN117" s="54">
        <v>21</v>
      </c>
      <c r="AO117" s="54">
        <f>G117*0</f>
        <v>0</v>
      </c>
      <c r="AP117" s="54">
        <f>G117*(1-0)</f>
        <v>0</v>
      </c>
      <c r="AQ117" s="57" t="s">
        <v>128</v>
      </c>
      <c r="AV117" s="54">
        <f>ROUND(AW117+AX117,2)</f>
        <v>0</v>
      </c>
      <c r="AW117" s="54">
        <f>ROUND(F117*AO117,2)</f>
        <v>0</v>
      </c>
      <c r="AX117" s="54">
        <f>ROUND(F117*AP117,2)</f>
        <v>0</v>
      </c>
      <c r="AY117" s="57" t="s">
        <v>167</v>
      </c>
      <c r="AZ117" s="57" t="s">
        <v>370</v>
      </c>
      <c r="BA117" s="34" t="s">
        <v>350</v>
      </c>
      <c r="BC117" s="54">
        <f>AW117+AX117</f>
        <v>0</v>
      </c>
      <c r="BD117" s="54">
        <f>G117/(100-BE117)*100</f>
        <v>0</v>
      </c>
      <c r="BE117" s="54">
        <v>0</v>
      </c>
      <c r="BF117" s="54">
        <f>117</f>
        <v>117</v>
      </c>
      <c r="BH117" s="54">
        <f>F117*AO117</f>
        <v>0</v>
      </c>
      <c r="BI117" s="54">
        <f>F117*AP117</f>
        <v>0</v>
      </c>
      <c r="BJ117" s="54">
        <f>F117*G117</f>
        <v>0</v>
      </c>
      <c r="BK117" s="57" t="s">
        <v>117</v>
      </c>
      <c r="BL117" s="54"/>
      <c r="BW117" s="54">
        <v>21</v>
      </c>
      <c r="BX117" s="3" t="s">
        <v>165</v>
      </c>
    </row>
    <row r="118" spans="1:76" ht="14.5" x14ac:dyDescent="0.35">
      <c r="A118" s="49" t="s">
        <v>4</v>
      </c>
      <c r="B118" s="50" t="s">
        <v>180</v>
      </c>
      <c r="C118" s="158" t="s">
        <v>34</v>
      </c>
      <c r="D118" s="159"/>
      <c r="E118" s="51" t="s">
        <v>70</v>
      </c>
      <c r="F118" s="51" t="s">
        <v>70</v>
      </c>
      <c r="G118" s="52" t="s">
        <v>70</v>
      </c>
      <c r="H118" s="28">
        <f>ROUND(SUM(H119:H122),2)</f>
        <v>0</v>
      </c>
      <c r="I118" s="28">
        <f>ROUND(SUM(I119:I122),2)</f>
        <v>0</v>
      </c>
      <c r="J118" s="28">
        <f>ROUND(SUM(J119:J122),2)</f>
        <v>0</v>
      </c>
      <c r="K118" s="53" t="s">
        <v>4</v>
      </c>
      <c r="AI118" s="34" t="s">
        <v>345</v>
      </c>
      <c r="AS118" s="28">
        <f>SUM(AJ119:AJ122)</f>
        <v>0</v>
      </c>
      <c r="AT118" s="28">
        <f>SUM(AK119:AK122)</f>
        <v>0</v>
      </c>
      <c r="AU118" s="28">
        <f>SUM(AL119:AL122)</f>
        <v>0</v>
      </c>
    </row>
    <row r="119" spans="1:76" ht="14.5" x14ac:dyDescent="0.35">
      <c r="A119" s="1" t="s">
        <v>371</v>
      </c>
      <c r="B119" s="2" t="s">
        <v>372</v>
      </c>
      <c r="C119" s="80" t="s">
        <v>373</v>
      </c>
      <c r="D119" s="75"/>
      <c r="E119" s="2" t="s">
        <v>374</v>
      </c>
      <c r="F119" s="54">
        <v>1.8</v>
      </c>
      <c r="G119" s="55">
        <v>0</v>
      </c>
      <c r="H119" s="54">
        <f>ROUND(F119*AO119,2)</f>
        <v>0</v>
      </c>
      <c r="I119" s="54">
        <f>ROUND(F119*AP119,2)</f>
        <v>0</v>
      </c>
      <c r="J119" s="54">
        <f>ROUND(F119*G119,2)</f>
        <v>0</v>
      </c>
      <c r="K119" s="56" t="s">
        <v>4</v>
      </c>
      <c r="Z119" s="54">
        <f>ROUND(IF(AQ119="5",BJ119,0),2)</f>
        <v>0</v>
      </c>
      <c r="AB119" s="54">
        <f>ROUND(IF(AQ119="1",BH119,0),2)</f>
        <v>0</v>
      </c>
      <c r="AC119" s="54">
        <f>ROUND(IF(AQ119="1",BI119,0),2)</f>
        <v>0</v>
      </c>
      <c r="AD119" s="54">
        <f>ROUND(IF(AQ119="7",BH119,0),2)</f>
        <v>0</v>
      </c>
      <c r="AE119" s="54">
        <f>ROUND(IF(AQ119="7",BI119,0),2)</f>
        <v>0</v>
      </c>
      <c r="AF119" s="54">
        <f>ROUND(IF(AQ119="2",BH119,0),2)</f>
        <v>0</v>
      </c>
      <c r="AG119" s="54">
        <f>ROUND(IF(AQ119="2",BI119,0),2)</f>
        <v>0</v>
      </c>
      <c r="AH119" s="54">
        <f>ROUND(IF(AQ119="0",BJ119,0),2)</f>
        <v>0</v>
      </c>
      <c r="AI119" s="34" t="s">
        <v>345</v>
      </c>
      <c r="AJ119" s="54">
        <f>IF(AN119=0,J119,0)</f>
        <v>0</v>
      </c>
      <c r="AK119" s="54">
        <f>IF(AN119=12,J119,0)</f>
        <v>0</v>
      </c>
      <c r="AL119" s="54">
        <f>IF(AN119=21,J119,0)</f>
        <v>0</v>
      </c>
      <c r="AN119" s="54">
        <v>21</v>
      </c>
      <c r="AO119" s="54">
        <f>G119*1</f>
        <v>0</v>
      </c>
      <c r="AP119" s="54">
        <f>G119*(1-1)</f>
        <v>0</v>
      </c>
      <c r="AQ119" s="57" t="s">
        <v>184</v>
      </c>
      <c r="AV119" s="54">
        <f>ROUND(AW119+AX119,2)</f>
        <v>0</v>
      </c>
      <c r="AW119" s="54">
        <f>ROUND(F119*AO119,2)</f>
        <v>0</v>
      </c>
      <c r="AX119" s="54">
        <f>ROUND(F119*AP119,2)</f>
        <v>0</v>
      </c>
      <c r="AY119" s="57" t="s">
        <v>185</v>
      </c>
      <c r="AZ119" s="57" t="s">
        <v>375</v>
      </c>
      <c r="BA119" s="34" t="s">
        <v>350</v>
      </c>
      <c r="BC119" s="54">
        <f>AW119+AX119</f>
        <v>0</v>
      </c>
      <c r="BD119" s="54">
        <f>G119/(100-BE119)*100</f>
        <v>0</v>
      </c>
      <c r="BE119" s="54">
        <v>0</v>
      </c>
      <c r="BF119" s="54">
        <f>119</f>
        <v>119</v>
      </c>
      <c r="BH119" s="54">
        <f>F119*AO119</f>
        <v>0</v>
      </c>
      <c r="BI119" s="54">
        <f>F119*AP119</f>
        <v>0</v>
      </c>
      <c r="BJ119" s="54">
        <f>F119*G119</f>
        <v>0</v>
      </c>
      <c r="BK119" s="57" t="s">
        <v>180</v>
      </c>
      <c r="BL119" s="54"/>
      <c r="BW119" s="54">
        <v>21</v>
      </c>
      <c r="BX119" s="3" t="s">
        <v>373</v>
      </c>
    </row>
    <row r="120" spans="1:76" ht="14.5" x14ac:dyDescent="0.35">
      <c r="A120" s="1" t="s">
        <v>376</v>
      </c>
      <c r="B120" s="2" t="s">
        <v>188</v>
      </c>
      <c r="C120" s="80" t="s">
        <v>299</v>
      </c>
      <c r="D120" s="75"/>
      <c r="E120" s="2" t="s">
        <v>190</v>
      </c>
      <c r="F120" s="54">
        <v>0.03</v>
      </c>
      <c r="G120" s="55">
        <v>0</v>
      </c>
      <c r="H120" s="54">
        <f>ROUND(F120*AO120,2)</f>
        <v>0</v>
      </c>
      <c r="I120" s="54">
        <f>ROUND(F120*AP120,2)</f>
        <v>0</v>
      </c>
      <c r="J120" s="54">
        <f>ROUND(F120*G120,2)</f>
        <v>0</v>
      </c>
      <c r="K120" s="56" t="s">
        <v>4</v>
      </c>
      <c r="Z120" s="54">
        <f>ROUND(IF(AQ120="5",BJ120,0),2)</f>
        <v>0</v>
      </c>
      <c r="AB120" s="54">
        <f>ROUND(IF(AQ120="1",BH120,0),2)</f>
        <v>0</v>
      </c>
      <c r="AC120" s="54">
        <f>ROUND(IF(AQ120="1",BI120,0),2)</f>
        <v>0</v>
      </c>
      <c r="AD120" s="54">
        <f>ROUND(IF(AQ120="7",BH120,0),2)</f>
        <v>0</v>
      </c>
      <c r="AE120" s="54">
        <f>ROUND(IF(AQ120="7",BI120,0),2)</f>
        <v>0</v>
      </c>
      <c r="AF120" s="54">
        <f>ROUND(IF(AQ120="2",BH120,0),2)</f>
        <v>0</v>
      </c>
      <c r="AG120" s="54">
        <f>ROUND(IF(AQ120="2",BI120,0),2)</f>
        <v>0</v>
      </c>
      <c r="AH120" s="54">
        <f>ROUND(IF(AQ120="0",BJ120,0),2)</f>
        <v>0</v>
      </c>
      <c r="AI120" s="34" t="s">
        <v>345</v>
      </c>
      <c r="AJ120" s="54">
        <f>IF(AN120=0,J120,0)</f>
        <v>0</v>
      </c>
      <c r="AK120" s="54">
        <f>IF(AN120=12,J120,0)</f>
        <v>0</v>
      </c>
      <c r="AL120" s="54">
        <f>IF(AN120=21,J120,0)</f>
        <v>0</v>
      </c>
      <c r="AN120" s="54">
        <v>21</v>
      </c>
      <c r="AO120" s="54">
        <f>G120*1</f>
        <v>0</v>
      </c>
      <c r="AP120" s="54">
        <f>G120*(1-1)</f>
        <v>0</v>
      </c>
      <c r="AQ120" s="57" t="s">
        <v>184</v>
      </c>
      <c r="AV120" s="54">
        <f>ROUND(AW120+AX120,2)</f>
        <v>0</v>
      </c>
      <c r="AW120" s="54">
        <f>ROUND(F120*AO120,2)</f>
        <v>0</v>
      </c>
      <c r="AX120" s="54">
        <f>ROUND(F120*AP120,2)</f>
        <v>0</v>
      </c>
      <c r="AY120" s="57" t="s">
        <v>185</v>
      </c>
      <c r="AZ120" s="57" t="s">
        <v>375</v>
      </c>
      <c r="BA120" s="34" t="s">
        <v>350</v>
      </c>
      <c r="BC120" s="54">
        <f>AW120+AX120</f>
        <v>0</v>
      </c>
      <c r="BD120" s="54">
        <f>G120/(100-BE120)*100</f>
        <v>0</v>
      </c>
      <c r="BE120" s="54">
        <v>0</v>
      </c>
      <c r="BF120" s="54">
        <f>120</f>
        <v>120</v>
      </c>
      <c r="BH120" s="54">
        <f>F120*AO120</f>
        <v>0</v>
      </c>
      <c r="BI120" s="54">
        <f>F120*AP120</f>
        <v>0</v>
      </c>
      <c r="BJ120" s="54">
        <f>F120*G120</f>
        <v>0</v>
      </c>
      <c r="BK120" s="57" t="s">
        <v>180</v>
      </c>
      <c r="BL120" s="54"/>
      <c r="BW120" s="54">
        <v>21</v>
      </c>
      <c r="BX120" s="3" t="s">
        <v>299</v>
      </c>
    </row>
    <row r="121" spans="1:76" ht="14.5" x14ac:dyDescent="0.35">
      <c r="A121" s="1" t="s">
        <v>377</v>
      </c>
      <c r="B121" s="2" t="s">
        <v>378</v>
      </c>
      <c r="C121" s="80" t="s">
        <v>379</v>
      </c>
      <c r="D121" s="75"/>
      <c r="E121" s="2" t="s">
        <v>374</v>
      </c>
      <c r="F121" s="54">
        <v>1.8</v>
      </c>
      <c r="G121" s="55">
        <v>0</v>
      </c>
      <c r="H121" s="54">
        <f>ROUND(F121*AO121,2)</f>
        <v>0</v>
      </c>
      <c r="I121" s="54">
        <f>ROUND(F121*AP121,2)</f>
        <v>0</v>
      </c>
      <c r="J121" s="54">
        <f>ROUND(F121*G121,2)</f>
        <v>0</v>
      </c>
      <c r="K121" s="56" t="s">
        <v>4</v>
      </c>
      <c r="Z121" s="54">
        <f>ROUND(IF(AQ121="5",BJ121,0),2)</f>
        <v>0</v>
      </c>
      <c r="AB121" s="54">
        <f>ROUND(IF(AQ121="1",BH121,0),2)</f>
        <v>0</v>
      </c>
      <c r="AC121" s="54">
        <f>ROUND(IF(AQ121="1",BI121,0),2)</f>
        <v>0</v>
      </c>
      <c r="AD121" s="54">
        <f>ROUND(IF(AQ121="7",BH121,0),2)</f>
        <v>0</v>
      </c>
      <c r="AE121" s="54">
        <f>ROUND(IF(AQ121="7",BI121,0),2)</f>
        <v>0</v>
      </c>
      <c r="AF121" s="54">
        <f>ROUND(IF(AQ121="2",BH121,0),2)</f>
        <v>0</v>
      </c>
      <c r="AG121" s="54">
        <f>ROUND(IF(AQ121="2",BI121,0),2)</f>
        <v>0</v>
      </c>
      <c r="AH121" s="54">
        <f>ROUND(IF(AQ121="0",BJ121,0),2)</f>
        <v>0</v>
      </c>
      <c r="AI121" s="34" t="s">
        <v>345</v>
      </c>
      <c r="AJ121" s="54">
        <f>IF(AN121=0,J121,0)</f>
        <v>0</v>
      </c>
      <c r="AK121" s="54">
        <f>IF(AN121=12,J121,0)</f>
        <v>0</v>
      </c>
      <c r="AL121" s="54">
        <f>IF(AN121=21,J121,0)</f>
        <v>0</v>
      </c>
      <c r="AN121" s="54">
        <v>21</v>
      </c>
      <c r="AO121" s="54">
        <f>G121*1</f>
        <v>0</v>
      </c>
      <c r="AP121" s="54">
        <f>G121*(1-1)</f>
        <v>0</v>
      </c>
      <c r="AQ121" s="57" t="s">
        <v>184</v>
      </c>
      <c r="AV121" s="54">
        <f>ROUND(AW121+AX121,2)</f>
        <v>0</v>
      </c>
      <c r="AW121" s="54">
        <f>ROUND(F121*AO121,2)</f>
        <v>0</v>
      </c>
      <c r="AX121" s="54">
        <f>ROUND(F121*AP121,2)</f>
        <v>0</v>
      </c>
      <c r="AY121" s="57" t="s">
        <v>185</v>
      </c>
      <c r="AZ121" s="57" t="s">
        <v>375</v>
      </c>
      <c r="BA121" s="34" t="s">
        <v>350</v>
      </c>
      <c r="BC121" s="54">
        <f>AW121+AX121</f>
        <v>0</v>
      </c>
      <c r="BD121" s="54">
        <f>G121/(100-BE121)*100</f>
        <v>0</v>
      </c>
      <c r="BE121" s="54">
        <v>0</v>
      </c>
      <c r="BF121" s="54">
        <f>121</f>
        <v>121</v>
      </c>
      <c r="BH121" s="54">
        <f>F121*AO121</f>
        <v>0</v>
      </c>
      <c r="BI121" s="54">
        <f>F121*AP121</f>
        <v>0</v>
      </c>
      <c r="BJ121" s="54">
        <f>F121*G121</f>
        <v>0</v>
      </c>
      <c r="BK121" s="57" t="s">
        <v>180</v>
      </c>
      <c r="BL121" s="54"/>
      <c r="BW121" s="54">
        <v>21</v>
      </c>
      <c r="BX121" s="3" t="s">
        <v>379</v>
      </c>
    </row>
    <row r="122" spans="1:76" ht="14.5" x14ac:dyDescent="0.35">
      <c r="A122" s="4" t="s">
        <v>380</v>
      </c>
      <c r="B122" s="5" t="s">
        <v>247</v>
      </c>
      <c r="C122" s="166" t="s">
        <v>248</v>
      </c>
      <c r="D122" s="78"/>
      <c r="E122" s="5" t="s">
        <v>174</v>
      </c>
      <c r="F122" s="65">
        <v>1.2</v>
      </c>
      <c r="G122" s="66">
        <v>0</v>
      </c>
      <c r="H122" s="65">
        <f>ROUND(F122*AO122,2)</f>
        <v>0</v>
      </c>
      <c r="I122" s="65">
        <f>ROUND(F122*AP122,2)</f>
        <v>0</v>
      </c>
      <c r="J122" s="65">
        <f>ROUND(F122*G122,2)</f>
        <v>0</v>
      </c>
      <c r="K122" s="67" t="s">
        <v>121</v>
      </c>
      <c r="Z122" s="54">
        <f>ROUND(IF(AQ122="5",BJ122,0),2)</f>
        <v>0</v>
      </c>
      <c r="AB122" s="54">
        <f>ROUND(IF(AQ122="1",BH122,0),2)</f>
        <v>0</v>
      </c>
      <c r="AC122" s="54">
        <f>ROUND(IF(AQ122="1",BI122,0),2)</f>
        <v>0</v>
      </c>
      <c r="AD122" s="54">
        <f>ROUND(IF(AQ122="7",BH122,0),2)</f>
        <v>0</v>
      </c>
      <c r="AE122" s="54">
        <f>ROUND(IF(AQ122="7",BI122,0),2)</f>
        <v>0</v>
      </c>
      <c r="AF122" s="54">
        <f>ROUND(IF(AQ122="2",BH122,0),2)</f>
        <v>0</v>
      </c>
      <c r="AG122" s="54">
        <f>ROUND(IF(AQ122="2",BI122,0),2)</f>
        <v>0</v>
      </c>
      <c r="AH122" s="54">
        <f>ROUND(IF(AQ122="0",BJ122,0),2)</f>
        <v>0</v>
      </c>
      <c r="AI122" s="34" t="s">
        <v>345</v>
      </c>
      <c r="AJ122" s="54">
        <f>IF(AN122=0,J122,0)</f>
        <v>0</v>
      </c>
      <c r="AK122" s="54">
        <f>IF(AN122=12,J122,0)</f>
        <v>0</v>
      </c>
      <c r="AL122" s="54">
        <f>IF(AN122=21,J122,0)</f>
        <v>0</v>
      </c>
      <c r="AN122" s="54">
        <v>21</v>
      </c>
      <c r="AO122" s="54">
        <f>G122*1</f>
        <v>0</v>
      </c>
      <c r="AP122" s="54">
        <f>G122*(1-1)</f>
        <v>0</v>
      </c>
      <c r="AQ122" s="57" t="s">
        <v>184</v>
      </c>
      <c r="AV122" s="54">
        <f>ROUND(AW122+AX122,2)</f>
        <v>0</v>
      </c>
      <c r="AW122" s="54">
        <f>ROUND(F122*AO122,2)</f>
        <v>0</v>
      </c>
      <c r="AX122" s="54">
        <f>ROUND(F122*AP122,2)</f>
        <v>0</v>
      </c>
      <c r="AY122" s="57" t="s">
        <v>185</v>
      </c>
      <c r="AZ122" s="57" t="s">
        <v>375</v>
      </c>
      <c r="BA122" s="34" t="s">
        <v>350</v>
      </c>
      <c r="BC122" s="54">
        <f>AW122+AX122</f>
        <v>0</v>
      </c>
      <c r="BD122" s="54">
        <f>G122/(100-BE122)*100</f>
        <v>0</v>
      </c>
      <c r="BE122" s="54">
        <v>0</v>
      </c>
      <c r="BF122" s="54">
        <f>122</f>
        <v>122</v>
      </c>
      <c r="BH122" s="54">
        <f>F122*AO122</f>
        <v>0</v>
      </c>
      <c r="BI122" s="54">
        <f>F122*AP122</f>
        <v>0</v>
      </c>
      <c r="BJ122" s="54">
        <f>F122*G122</f>
        <v>0</v>
      </c>
      <c r="BK122" s="57" t="s">
        <v>180</v>
      </c>
      <c r="BL122" s="54"/>
      <c r="BW122" s="54">
        <v>21</v>
      </c>
      <c r="BX122" s="3" t="s">
        <v>248</v>
      </c>
    </row>
    <row r="123" spans="1:76" ht="14.5" x14ac:dyDescent="0.35">
      <c r="H123" s="167" t="s">
        <v>381</v>
      </c>
      <c r="I123" s="167"/>
      <c r="J123" s="68">
        <f>ROUND(SUM(J13,J23,J27,J30,J32,J35,J41,J48,J51,J53,J63,J67,J75,J77,J84,J88,J97,J99,J108,J116,J118),2)</f>
        <v>0</v>
      </c>
    </row>
    <row r="124" spans="1:76" ht="14.5" x14ac:dyDescent="0.35">
      <c r="A124" s="69" t="s">
        <v>54</v>
      </c>
    </row>
    <row r="125" spans="1:76" ht="12.75" customHeight="1" x14ac:dyDescent="0.35">
      <c r="A125" s="80" t="s">
        <v>4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</row>
  </sheetData>
  <sheetProtection password="CA5F" sheet="1"/>
  <mergeCells count="141">
    <mergeCell ref="C120:D120"/>
    <mergeCell ref="C121:D121"/>
    <mergeCell ref="C122:D122"/>
    <mergeCell ref="H123:I123"/>
    <mergeCell ref="A125:K125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K39"/>
    <mergeCell ref="C30:D30"/>
    <mergeCell ref="C31:D31"/>
    <mergeCell ref="C32:D32"/>
    <mergeCell ref="C33:D33"/>
    <mergeCell ref="C34:D34"/>
    <mergeCell ref="C25:K25"/>
    <mergeCell ref="C26:D26"/>
    <mergeCell ref="C27:D27"/>
    <mergeCell ref="C28:D28"/>
    <mergeCell ref="C29:K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Martina</cp:lastModifiedBy>
  <dcterms:created xsi:type="dcterms:W3CDTF">2021-06-10T20:06:38Z</dcterms:created>
  <dcterms:modified xsi:type="dcterms:W3CDTF">2025-11-06T08:20:01Z</dcterms:modified>
</cp:coreProperties>
</file>